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64011"/>
  <mc:AlternateContent xmlns:mc="http://schemas.openxmlformats.org/markup-compatibility/2006">
    <mc:Choice Requires="x15">
      <x15ac:absPath xmlns:x15ac="http://schemas.microsoft.com/office/spreadsheetml/2010/11/ac" url="C:\Users\ckkeo\Dropbox (St. Kate's)\Summer Research 2017\ELMPS 2018\Main Fielding questionnaires\app-designer v2.0.3 5.9.2018\app\config\tables\quest1_00_0\forms\quest1_00_0\"/>
    </mc:Choice>
  </mc:AlternateContent>
  <bookViews>
    <workbookView minimized="1" xWindow="0" yWindow="0" windowWidth="25515" windowHeight="15600" tabRatio="669" firstSheet="1" activeTab="6"/>
  </bookViews>
  <sheets>
    <sheet name="settings" sheetId="4" r:id="rId1"/>
    <sheet name="survey" sheetId="1" r:id="rId2"/>
    <sheet name="queries" sheetId="8" r:id="rId3"/>
    <sheet name="choices" sheetId="3" r:id="rId4"/>
    <sheet name="model" sheetId="10" r:id="rId5"/>
    <sheet name="prompt_types" sheetId="14" r:id="rId6"/>
    <sheet name="properties" sheetId="29" r:id="rId7"/>
    <sheet name="1_0_statistical_identification" sheetId="9" r:id="rId8"/>
    <sheet name="2_0_tracking_splits" sheetId="11" r:id="rId9"/>
    <sheet name="3_0_individual_data" sheetId="2" r:id="rId10"/>
    <sheet name="4_0_housing_information" sheetId="7" r:id="rId11"/>
    <sheet name="5_0_individual_questionnaires" sheetId="33" r:id="rId12"/>
    <sheet name="13_0_Statistical_Identification" sheetId="15" r:id="rId13"/>
    <sheet name="14_1_Current_Migration" sheetId="35" r:id="rId14"/>
    <sheet name="14_2_Remittances" sheetId="36" r:id="rId15"/>
    <sheet name="14_3_Other_income" sheetId="23" r:id="rId16"/>
    <sheet name="14_4_Shocks_coping" sheetId="34" r:id="rId17"/>
    <sheet name="15_1_Non_agriculture_ent" sheetId="19" r:id="rId18"/>
    <sheet name="16_1_Agri_Assets_Land" sheetId="20" r:id="rId19"/>
    <sheet name="16_2_Livestock" sheetId="27" r:id="rId20"/>
    <sheet name="16_3_Capital_Equipment" sheetId="30" r:id="rId21"/>
    <sheet name="16_4_Harvest_disposal_crops" sheetId="31" r:id="rId22"/>
    <sheet name="16_5_Other_agri_income" sheetId="25" r:id="rId23"/>
  </sheets>
  <definedNames>
    <definedName name="_xlnm._FilterDatabase" localSheetId="7" hidden="1">'1_0_statistical_identification'!$A$1:$AH$244</definedName>
    <definedName name="_xlnm._FilterDatabase" localSheetId="12" hidden="1">'13_0_Statistical_Identification'!$A$1:$AG$204</definedName>
    <definedName name="_xlnm._FilterDatabase" localSheetId="13" hidden="1">'14_1_Current_Migration'!$A$1:$AA$26</definedName>
    <definedName name="_xlnm._FilterDatabase" localSheetId="14" hidden="1">'14_2_Remittances'!$A$1:$AD$21</definedName>
    <definedName name="_xlnm._FilterDatabase" localSheetId="15" hidden="1">'14_3_Other_income'!$A$1:$AA$316</definedName>
    <definedName name="_xlnm._FilterDatabase" localSheetId="16" hidden="1">'14_4_Shocks_coping'!$A$1:$AE$143</definedName>
    <definedName name="_xlnm._FilterDatabase" localSheetId="17" hidden="1">'15_1_Non_agriculture_ent'!$A$1:$AC$26</definedName>
    <definedName name="_xlnm._FilterDatabase" localSheetId="18" hidden="1">'16_1_Agri_Assets_Land'!$A$1:$AD$156</definedName>
    <definedName name="_xlnm._FilterDatabase" localSheetId="19" hidden="1">'16_2_Livestock'!$A$1:$AA$560</definedName>
    <definedName name="_xlnm._FilterDatabase" localSheetId="20" hidden="1">'16_3_Capital_Equipment'!$A$1:$AA$421</definedName>
    <definedName name="_xlnm._FilterDatabase" localSheetId="21" hidden="1">'16_4_Harvest_disposal_crops'!$A$1:$AD$156</definedName>
    <definedName name="_xlnm._FilterDatabase" localSheetId="22" hidden="1">'16_5_Other_agri_income'!$A$1:$AH$424</definedName>
    <definedName name="_xlnm._FilterDatabase" localSheetId="8" hidden="1">'2_0_tracking_splits'!$A$1:$AB$26</definedName>
    <definedName name="_xlnm._FilterDatabase" localSheetId="9" hidden="1">'3_0_individual_data'!$A$1:$AC$186</definedName>
    <definedName name="_xlnm._FilterDatabase" localSheetId="10" hidden="1">'4_0_housing_information'!$A$1:$AC$271</definedName>
    <definedName name="_xlnm._FilterDatabase" localSheetId="11" hidden="1">'5_0_individual_questionnaires'!$A$1:$AC$33</definedName>
    <definedName name="_xlnm._FilterDatabase" localSheetId="2" hidden="1">queries!$A$1:$O$188</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 i="29" l="1"/>
  <c r="E3" i="29"/>
  <c r="B3" i="3"/>
  <c r="A230" i="7"/>
  <c r="N267" i="7"/>
  <c r="N266" i="7"/>
  <c r="I266" i="7"/>
  <c r="A266" i="7"/>
  <c r="K268" i="7"/>
  <c r="I259" i="7"/>
  <c r="A259" i="7"/>
  <c r="K261" i="7"/>
  <c r="N252" i="7"/>
  <c r="A252" i="7"/>
  <c r="K254" i="7"/>
  <c r="N245" i="7"/>
  <c r="A245" i="7"/>
  <c r="K247" i="7"/>
  <c r="N238" i="7"/>
  <c r="A238" i="7"/>
  <c r="K240" i="7"/>
  <c r="N231" i="7"/>
  <c r="A231" i="7"/>
  <c r="K233" i="7"/>
  <c r="I7" i="23"/>
  <c r="I8" i="23"/>
  <c r="I9" i="23"/>
  <c r="I16" i="23"/>
  <c r="I17" i="23"/>
  <c r="N106" i="23"/>
  <c r="N111" i="23"/>
  <c r="N116" i="23"/>
  <c r="N120" i="23"/>
  <c r="N102" i="23"/>
  <c r="N97" i="23"/>
  <c r="V116" i="23"/>
  <c r="I10" i="23"/>
  <c r="N77" i="23"/>
  <c r="N67" i="23"/>
  <c r="N62" i="23"/>
  <c r="K64" i="23"/>
  <c r="K70" i="23"/>
  <c r="K80" i="23"/>
  <c r="K83" i="23"/>
  <c r="B171" i="3"/>
  <c r="B172" i="3"/>
  <c r="P230" i="7"/>
  <c r="O230" i="7"/>
  <c r="B160" i="3"/>
  <c r="B153" i="3"/>
  <c r="B144" i="3"/>
  <c r="B136" i="3"/>
  <c r="B128" i="3"/>
  <c r="B119" i="3"/>
  <c r="B110" i="3"/>
  <c r="B102" i="3"/>
  <c r="B95" i="3"/>
  <c r="B85" i="3"/>
  <c r="B75" i="3"/>
  <c r="B66" i="3"/>
  <c r="B58" i="3"/>
  <c r="B50" i="3"/>
  <c r="B42" i="3"/>
  <c r="G87" i="7"/>
  <c r="B145" i="3"/>
  <c r="I12" i="7"/>
  <c r="I18" i="7"/>
  <c r="I24" i="7"/>
  <c r="I30" i="7"/>
  <c r="I31" i="7"/>
  <c r="I33" i="7"/>
  <c r="I41" i="7"/>
  <c r="I45" i="7"/>
  <c r="N45" i="7"/>
  <c r="H37" i="7"/>
  <c r="E69" i="2"/>
  <c r="W70" i="2"/>
  <c r="F70" i="2"/>
  <c r="I17" i="9"/>
  <c r="N70" i="9"/>
  <c r="I8" i="9"/>
  <c r="I9" i="9"/>
  <c r="I10" i="9"/>
  <c r="I11" i="9"/>
  <c r="I12" i="9"/>
  <c r="I13" i="9"/>
  <c r="N13" i="9"/>
  <c r="I19" i="9"/>
  <c r="I20" i="9"/>
  <c r="I21" i="9"/>
  <c r="I22" i="9"/>
  <c r="I23" i="9"/>
  <c r="I24" i="9"/>
  <c r="I25" i="9"/>
  <c r="I26" i="9"/>
  <c r="I27" i="9"/>
  <c r="I31" i="9"/>
  <c r="I90" i="9"/>
  <c r="I92" i="9"/>
  <c r="I110" i="9"/>
  <c r="I112" i="9"/>
  <c r="I130" i="9"/>
  <c r="I132" i="9"/>
  <c r="I151" i="9"/>
  <c r="I164" i="9"/>
  <c r="I165" i="9"/>
  <c r="I168" i="9"/>
  <c r="I172" i="9"/>
  <c r="I186" i="9"/>
  <c r="I187" i="9"/>
  <c r="N187" i="9"/>
  <c r="I36" i="9"/>
  <c r="N36" i="9"/>
  <c r="T194" i="9"/>
  <c r="N19" i="9"/>
  <c r="N20" i="9"/>
  <c r="T43" i="9"/>
  <c r="N35" i="25"/>
  <c r="N68" i="25"/>
  <c r="N100" i="25"/>
  <c r="N132" i="25"/>
  <c r="N164" i="25"/>
  <c r="N196" i="25"/>
  <c r="N228" i="25"/>
  <c r="I8" i="31"/>
  <c r="N8" i="31"/>
  <c r="N6" i="27"/>
  <c r="N6" i="19"/>
  <c r="V262" i="25"/>
  <c r="T260" i="25"/>
  <c r="T259" i="25"/>
  <c r="T258" i="25"/>
  <c r="G192" i="8"/>
  <c r="G191" i="8"/>
  <c r="G190" i="8"/>
  <c r="H192" i="8"/>
  <c r="H191" i="8"/>
  <c r="H190" i="8"/>
  <c r="G188" i="8"/>
  <c r="G187" i="8"/>
  <c r="G186" i="8"/>
  <c r="H188" i="8"/>
  <c r="H187" i="8"/>
  <c r="H186" i="8"/>
  <c r="I188" i="9"/>
  <c r="I195" i="9"/>
  <c r="I196" i="9"/>
  <c r="I197" i="9"/>
  <c r="I198" i="9"/>
  <c r="I199" i="9"/>
  <c r="I203" i="9"/>
  <c r="I206" i="9"/>
  <c r="N206" i="9"/>
  <c r="N203" i="9"/>
  <c r="V206" i="9"/>
  <c r="I9" i="27"/>
  <c r="I10" i="27"/>
  <c r="I11" i="27"/>
  <c r="I12" i="27"/>
  <c r="I15" i="27"/>
  <c r="I18" i="27"/>
  <c r="H15" i="27"/>
  <c r="H12" i="27"/>
  <c r="A6" i="27"/>
  <c r="B169" i="3"/>
  <c r="B170" i="3"/>
  <c r="F12" i="7"/>
  <c r="F18" i="7"/>
  <c r="C12" i="7"/>
  <c r="C18" i="7"/>
  <c r="F24" i="7"/>
  <c r="C24" i="7"/>
  <c r="Q31" i="7"/>
  <c r="R31" i="7"/>
  <c r="C31" i="7"/>
  <c r="F31" i="7"/>
  <c r="N25" i="9"/>
  <c r="E179" i="9"/>
  <c r="N50" i="23"/>
  <c r="N41" i="23"/>
  <c r="N31" i="23"/>
  <c r="N26" i="23"/>
  <c r="K28" i="23"/>
  <c r="K34" i="23"/>
  <c r="K44" i="23"/>
  <c r="K53" i="23"/>
  <c r="S54" i="23"/>
  <c r="S59" i="23"/>
  <c r="B89" i="9"/>
  <c r="P89" i="9"/>
  <c r="E89" i="9"/>
  <c r="O89" i="9"/>
  <c r="B109" i="9"/>
  <c r="P109" i="9"/>
  <c r="E109" i="9"/>
  <c r="O109" i="9"/>
  <c r="E129" i="9"/>
  <c r="B129" i="9"/>
  <c r="P129" i="9"/>
  <c r="O129" i="9"/>
  <c r="N92" i="9"/>
  <c r="N112" i="9"/>
  <c r="N172" i="9"/>
  <c r="N132" i="9"/>
  <c r="K183" i="9"/>
  <c r="N7" i="9"/>
  <c r="K205" i="9"/>
  <c r="K202" i="9"/>
  <c r="K170" i="9"/>
  <c r="K80" i="9"/>
  <c r="K141" i="9"/>
  <c r="K143" i="9"/>
  <c r="I14" i="9"/>
  <c r="N14" i="9"/>
  <c r="K63" i="9"/>
  <c r="I15" i="9"/>
  <c r="N15" i="9"/>
  <c r="B66" i="9"/>
  <c r="P66" i="9"/>
  <c r="E66" i="9"/>
  <c r="O66" i="9"/>
  <c r="P65" i="9"/>
  <c r="O65" i="9"/>
  <c r="A66" i="9"/>
  <c r="A65" i="9"/>
  <c r="T15" i="9"/>
  <c r="T14" i="9"/>
  <c r="E266" i="25"/>
  <c r="E21" i="25"/>
  <c r="E20" i="25"/>
  <c r="E19" i="25"/>
  <c r="E18" i="25"/>
  <c r="E17" i="25"/>
  <c r="X206" i="9"/>
  <c r="W206" i="9"/>
  <c r="I11" i="34"/>
  <c r="I17" i="34"/>
  <c r="I23" i="34"/>
  <c r="I29" i="34"/>
  <c r="I35" i="34"/>
  <c r="I41" i="34"/>
  <c r="I50" i="34"/>
  <c r="H52" i="34"/>
  <c r="H53" i="34"/>
  <c r="H54" i="34"/>
  <c r="H55" i="34"/>
  <c r="H56" i="34"/>
  <c r="H57" i="34"/>
  <c r="H58" i="34"/>
  <c r="H59" i="34"/>
  <c r="I59" i="34"/>
  <c r="N59" i="34"/>
  <c r="I6" i="34"/>
  <c r="N6" i="34"/>
  <c r="I12" i="34"/>
  <c r="N12" i="34"/>
  <c r="I18" i="34"/>
  <c r="N18" i="34"/>
  <c r="I24" i="34"/>
  <c r="N24" i="34"/>
  <c r="I30" i="34"/>
  <c r="N30" i="34"/>
  <c r="I36" i="34"/>
  <c r="N36" i="34"/>
  <c r="I42" i="34"/>
  <c r="N42" i="34"/>
  <c r="K47" i="34"/>
  <c r="K60" i="34"/>
  <c r="S164" i="9"/>
  <c r="S59" i="34"/>
  <c r="S58" i="34"/>
  <c r="S57" i="34"/>
  <c r="S56" i="34"/>
  <c r="S55" i="34"/>
  <c r="S54" i="34"/>
  <c r="S53" i="34"/>
  <c r="S52" i="34"/>
  <c r="S51" i="34"/>
  <c r="I67" i="34"/>
  <c r="I83" i="34"/>
  <c r="I98" i="34"/>
  <c r="I122" i="34"/>
  <c r="H124" i="34"/>
  <c r="I124" i="34"/>
  <c r="N124" i="34"/>
  <c r="A124" i="34"/>
  <c r="I99" i="34"/>
  <c r="N99" i="34"/>
  <c r="H100" i="34"/>
  <c r="I100" i="34"/>
  <c r="N100" i="34"/>
  <c r="H101" i="34"/>
  <c r="I101" i="34"/>
  <c r="N101" i="34"/>
  <c r="H102" i="34"/>
  <c r="I102" i="34"/>
  <c r="N102" i="34"/>
  <c r="H103" i="34"/>
  <c r="I103" i="34"/>
  <c r="N103" i="34"/>
  <c r="H104" i="34"/>
  <c r="I104" i="34"/>
  <c r="N104" i="34"/>
  <c r="H105" i="34"/>
  <c r="I105" i="34"/>
  <c r="N105" i="34"/>
  <c r="H106" i="34"/>
  <c r="I106" i="34"/>
  <c r="N106" i="34"/>
  <c r="H107" i="34"/>
  <c r="I107" i="34"/>
  <c r="N107" i="34"/>
  <c r="H108" i="34"/>
  <c r="I108" i="34"/>
  <c r="N108" i="34"/>
  <c r="H109" i="34"/>
  <c r="I109" i="34"/>
  <c r="N109" i="34"/>
  <c r="H110" i="34"/>
  <c r="I110" i="34"/>
  <c r="N110" i="34"/>
  <c r="H111" i="34"/>
  <c r="I111" i="34"/>
  <c r="N111" i="34"/>
  <c r="H112" i="34"/>
  <c r="I112" i="34"/>
  <c r="N112" i="34"/>
  <c r="H113" i="34"/>
  <c r="I113" i="34"/>
  <c r="N113" i="34"/>
  <c r="H114" i="34"/>
  <c r="I114" i="34"/>
  <c r="N114" i="34"/>
  <c r="H115" i="34"/>
  <c r="I115" i="34"/>
  <c r="N115" i="34"/>
  <c r="K120" i="34"/>
  <c r="H46" i="34"/>
  <c r="S206" i="9"/>
  <c r="S203" i="9"/>
  <c r="K149" i="9"/>
  <c r="S151" i="9"/>
  <c r="I25" i="27"/>
  <c r="I26" i="27"/>
  <c r="I27" i="27"/>
  <c r="I28" i="27"/>
  <c r="I29" i="27"/>
  <c r="I30" i="27"/>
  <c r="I31" i="27"/>
  <c r="I32" i="27"/>
  <c r="N503" i="27"/>
  <c r="N487" i="27"/>
  <c r="N473" i="27"/>
  <c r="K472" i="27"/>
  <c r="K475" i="27"/>
  <c r="K482" i="27"/>
  <c r="K490" i="27"/>
  <c r="K498" i="27"/>
  <c r="K506" i="27"/>
  <c r="I13" i="27"/>
  <c r="I16" i="27"/>
  <c r="N507" i="27"/>
  <c r="K509" i="27"/>
  <c r="N448" i="27"/>
  <c r="N432" i="27"/>
  <c r="N418" i="27"/>
  <c r="K417" i="27"/>
  <c r="K420" i="27"/>
  <c r="K427" i="27"/>
  <c r="K435" i="27"/>
  <c r="K443" i="27"/>
  <c r="K451" i="27"/>
  <c r="N452" i="27"/>
  <c r="K454" i="27"/>
  <c r="N394" i="27"/>
  <c r="N378" i="27"/>
  <c r="N364" i="27"/>
  <c r="K363" i="27"/>
  <c r="K366" i="27"/>
  <c r="K373" i="27"/>
  <c r="K381" i="27"/>
  <c r="K389" i="27"/>
  <c r="K397" i="27"/>
  <c r="N398" i="27"/>
  <c r="K400" i="27"/>
  <c r="N340" i="27"/>
  <c r="N324" i="27"/>
  <c r="N310" i="27"/>
  <c r="K309" i="27"/>
  <c r="K312" i="27"/>
  <c r="K319" i="27"/>
  <c r="K327" i="27"/>
  <c r="K335" i="27"/>
  <c r="K343" i="27"/>
  <c r="N344" i="27"/>
  <c r="K346" i="27"/>
  <c r="N285" i="27"/>
  <c r="N269" i="27"/>
  <c r="N255" i="27"/>
  <c r="K254" i="27"/>
  <c r="K257" i="27"/>
  <c r="K264" i="27"/>
  <c r="K272" i="27"/>
  <c r="K280" i="27"/>
  <c r="K288" i="27"/>
  <c r="N289" i="27"/>
  <c r="K291" i="27"/>
  <c r="N230" i="27"/>
  <c r="N214" i="27"/>
  <c r="N200" i="27"/>
  <c r="K199" i="27"/>
  <c r="K202" i="27"/>
  <c r="K209" i="27"/>
  <c r="K217" i="27"/>
  <c r="K225" i="27"/>
  <c r="K233" i="27"/>
  <c r="N234" i="27"/>
  <c r="K236" i="27"/>
  <c r="N175" i="27"/>
  <c r="N159" i="27"/>
  <c r="N145" i="27"/>
  <c r="K144" i="27"/>
  <c r="K147" i="27"/>
  <c r="K154" i="27"/>
  <c r="K162" i="27"/>
  <c r="K170" i="27"/>
  <c r="K178" i="27"/>
  <c r="N179" i="27"/>
  <c r="K181" i="27"/>
  <c r="N120" i="27"/>
  <c r="N104" i="27"/>
  <c r="N90" i="27"/>
  <c r="K89" i="27"/>
  <c r="K92" i="27"/>
  <c r="K99" i="27"/>
  <c r="K107" i="27"/>
  <c r="K115" i="27"/>
  <c r="K123" i="27"/>
  <c r="N124" i="27"/>
  <c r="K126" i="27"/>
  <c r="N69" i="27"/>
  <c r="N65" i="27"/>
  <c r="N49" i="27"/>
  <c r="N35" i="27"/>
  <c r="K34" i="27"/>
  <c r="K37" i="27"/>
  <c r="K44" i="27"/>
  <c r="K52" i="27"/>
  <c r="K60" i="27"/>
  <c r="K68" i="27"/>
  <c r="K71" i="27"/>
  <c r="N54" i="27"/>
  <c r="K57" i="27"/>
  <c r="N39" i="27"/>
  <c r="K41" i="27"/>
  <c r="K46" i="27"/>
  <c r="S510" i="27"/>
  <c r="S516" i="27"/>
  <c r="N492" i="27"/>
  <c r="K495" i="27"/>
  <c r="S496" i="27"/>
  <c r="S501" i="27"/>
  <c r="N477" i="27"/>
  <c r="K479" i="27"/>
  <c r="S480" i="27"/>
  <c r="S485" i="27"/>
  <c r="S455" i="27"/>
  <c r="S461" i="27"/>
  <c r="N437" i="27"/>
  <c r="K440" i="27"/>
  <c r="S441" i="27"/>
  <c r="S446" i="27"/>
  <c r="N422" i="27"/>
  <c r="K424" i="27"/>
  <c r="S425" i="27"/>
  <c r="S430" i="27"/>
  <c r="S401" i="27"/>
  <c r="S407" i="27"/>
  <c r="N383" i="27"/>
  <c r="K386" i="27"/>
  <c r="S387" i="27"/>
  <c r="S392" i="27"/>
  <c r="N368" i="27"/>
  <c r="K370" i="27"/>
  <c r="S371" i="27"/>
  <c r="S376" i="27"/>
  <c r="S347" i="27"/>
  <c r="S353" i="27"/>
  <c r="N329" i="27"/>
  <c r="K332" i="27"/>
  <c r="S333" i="27"/>
  <c r="S338" i="27"/>
  <c r="N314" i="27"/>
  <c r="K316" i="27"/>
  <c r="S317" i="27"/>
  <c r="S322" i="27"/>
  <c r="S292" i="27"/>
  <c r="S298" i="27"/>
  <c r="N274" i="27"/>
  <c r="K277" i="27"/>
  <c r="S278" i="27"/>
  <c r="S283" i="27"/>
  <c r="N259" i="27"/>
  <c r="K261" i="27"/>
  <c r="S262" i="27"/>
  <c r="S267" i="27"/>
  <c r="S237" i="27"/>
  <c r="S243" i="27"/>
  <c r="N219" i="27"/>
  <c r="K222" i="27"/>
  <c r="S223" i="27"/>
  <c r="S228" i="27"/>
  <c r="N204" i="27"/>
  <c r="K206" i="27"/>
  <c r="S207" i="27"/>
  <c r="S212" i="27"/>
  <c r="S182" i="27"/>
  <c r="S188" i="27"/>
  <c r="N164" i="27"/>
  <c r="K167" i="27"/>
  <c r="S168" i="27"/>
  <c r="S173" i="27"/>
  <c r="N149" i="27"/>
  <c r="K151" i="27"/>
  <c r="S152" i="27"/>
  <c r="S157" i="27"/>
  <c r="S127" i="27"/>
  <c r="S133" i="27"/>
  <c r="N109" i="27"/>
  <c r="K112" i="27"/>
  <c r="S113" i="27"/>
  <c r="S118" i="27"/>
  <c r="N94" i="27"/>
  <c r="K96" i="27"/>
  <c r="S97" i="27"/>
  <c r="S102" i="27"/>
  <c r="S72" i="27"/>
  <c r="S78" i="27"/>
  <c r="S58" i="27"/>
  <c r="S63" i="27"/>
  <c r="S42" i="27"/>
  <c r="S47" i="27"/>
  <c r="I18" i="23"/>
  <c r="I19" i="23"/>
  <c r="I20" i="23"/>
  <c r="I21" i="23"/>
  <c r="I22" i="23"/>
  <c r="I23" i="23"/>
  <c r="N305" i="23"/>
  <c r="N296" i="23"/>
  <c r="N286" i="23"/>
  <c r="N281" i="23"/>
  <c r="K283" i="23"/>
  <c r="K289" i="23"/>
  <c r="K299" i="23"/>
  <c r="K308" i="23"/>
  <c r="S309" i="23"/>
  <c r="S314" i="23"/>
  <c r="S300" i="23"/>
  <c r="S304" i="23"/>
  <c r="N261" i="23"/>
  <c r="N252" i="23"/>
  <c r="N242" i="23"/>
  <c r="N237" i="23"/>
  <c r="K239" i="23"/>
  <c r="K245" i="23"/>
  <c r="K255" i="23"/>
  <c r="K264" i="23"/>
  <c r="S265" i="23"/>
  <c r="S270" i="23"/>
  <c r="S256" i="23"/>
  <c r="S260" i="23"/>
  <c r="N226" i="23"/>
  <c r="N217" i="23"/>
  <c r="N207" i="23"/>
  <c r="N202" i="23"/>
  <c r="K204" i="23"/>
  <c r="K210" i="23"/>
  <c r="K220" i="23"/>
  <c r="K229" i="23"/>
  <c r="S230" i="23"/>
  <c r="S235" i="23"/>
  <c r="S221" i="23"/>
  <c r="S225" i="23"/>
  <c r="N191" i="23"/>
  <c r="N182" i="23"/>
  <c r="N172" i="23"/>
  <c r="N167" i="23"/>
  <c r="K169" i="23"/>
  <c r="K175" i="23"/>
  <c r="K185" i="23"/>
  <c r="K194" i="23"/>
  <c r="S195" i="23"/>
  <c r="S200" i="23"/>
  <c r="S186" i="23"/>
  <c r="S190" i="23"/>
  <c r="N156" i="23"/>
  <c r="N147" i="23"/>
  <c r="N137" i="23"/>
  <c r="N132" i="23"/>
  <c r="K134" i="23"/>
  <c r="K140" i="23"/>
  <c r="K150" i="23"/>
  <c r="K159" i="23"/>
  <c r="S160" i="23"/>
  <c r="S165" i="23"/>
  <c r="S151" i="23"/>
  <c r="S155" i="23"/>
  <c r="N121" i="23"/>
  <c r="N112" i="23"/>
  <c r="K99" i="23"/>
  <c r="K105" i="23"/>
  <c r="K115" i="23"/>
  <c r="K124" i="23"/>
  <c r="S125" i="23"/>
  <c r="S130" i="23"/>
  <c r="S116" i="23"/>
  <c r="S120" i="23"/>
  <c r="N86" i="23"/>
  <c r="K89" i="23"/>
  <c r="S90" i="23"/>
  <c r="S95" i="23"/>
  <c r="S81" i="23"/>
  <c r="S85" i="23"/>
  <c r="S45" i="23"/>
  <c r="S49" i="23"/>
  <c r="S172" i="2"/>
  <c r="T263" i="25"/>
  <c r="T152" i="9"/>
  <c r="N21" i="9"/>
  <c r="E175" i="9"/>
  <c r="E73" i="9"/>
  <c r="E174" i="9"/>
  <c r="E72" i="9"/>
  <c r="I238" i="9"/>
  <c r="N238" i="9"/>
  <c r="N186" i="9"/>
  <c r="V238" i="9"/>
  <c r="I8" i="20"/>
  <c r="I11" i="20"/>
  <c r="I18" i="20"/>
  <c r="I22" i="20"/>
  <c r="I26" i="20"/>
  <c r="I29" i="20"/>
  <c r="I34" i="20"/>
  <c r="I39" i="20"/>
  <c r="I43" i="20"/>
  <c r="I47" i="20"/>
  <c r="I54" i="20"/>
  <c r="I59" i="20"/>
  <c r="I65" i="20"/>
  <c r="I69" i="20"/>
  <c r="I70" i="20"/>
  <c r="N70" i="20"/>
  <c r="I14" i="20"/>
  <c r="I15" i="20"/>
  <c r="N15" i="20"/>
  <c r="N6" i="20"/>
  <c r="N69" i="20"/>
  <c r="V70" i="20"/>
  <c r="I55" i="20"/>
  <c r="N55" i="20"/>
  <c r="N8" i="20"/>
  <c r="N43" i="20"/>
  <c r="V55" i="20"/>
  <c r="I48" i="20"/>
  <c r="N48" i="20"/>
  <c r="V48" i="20"/>
  <c r="I35" i="20"/>
  <c r="N35" i="20"/>
  <c r="N29" i="20"/>
  <c r="V35" i="20"/>
  <c r="I23" i="20"/>
  <c r="N23" i="20"/>
  <c r="N18" i="20"/>
  <c r="V23" i="20"/>
  <c r="V15" i="20"/>
  <c r="N11" i="20"/>
  <c r="V11" i="20"/>
  <c r="K7" i="20"/>
  <c r="K10" i="20"/>
  <c r="S15" i="20"/>
  <c r="S16" i="20"/>
  <c r="K20" i="20"/>
  <c r="S23" i="20"/>
  <c r="S24" i="20"/>
  <c r="K230" i="9"/>
  <c r="K223" i="9"/>
  <c r="P235" i="9"/>
  <c r="O235" i="9"/>
  <c r="P233" i="9"/>
  <c r="O233" i="9"/>
  <c r="P232" i="9"/>
  <c r="O232" i="9"/>
  <c r="P228" i="9"/>
  <c r="O228" i="9"/>
  <c r="P226" i="9"/>
  <c r="O226" i="9"/>
  <c r="P225" i="9"/>
  <c r="O225" i="9"/>
  <c r="H208" i="9"/>
  <c r="K133" i="9"/>
  <c r="N12" i="9"/>
  <c r="K126" i="9"/>
  <c r="K106" i="9"/>
  <c r="N151" i="9"/>
  <c r="H112" i="9"/>
  <c r="H92" i="9"/>
  <c r="K146" i="9"/>
  <c r="I15" i="25"/>
  <c r="I16" i="25"/>
  <c r="I17" i="25"/>
  <c r="N237" i="25"/>
  <c r="I18" i="25"/>
  <c r="I19" i="25"/>
  <c r="N245" i="25"/>
  <c r="I20" i="25"/>
  <c r="I21" i="25"/>
  <c r="N252" i="25"/>
  <c r="N241" i="25"/>
  <c r="N248" i="25"/>
  <c r="V256" i="25"/>
  <c r="V247" i="25"/>
  <c r="N205" i="25"/>
  <c r="N213" i="25"/>
  <c r="N220" i="25"/>
  <c r="N209" i="25"/>
  <c r="N216" i="25"/>
  <c r="V224" i="25"/>
  <c r="V215" i="25"/>
  <c r="N173" i="25"/>
  <c r="N181" i="25"/>
  <c r="N188" i="25"/>
  <c r="N177" i="25"/>
  <c r="N184" i="25"/>
  <c r="V192" i="25"/>
  <c r="V183" i="25"/>
  <c r="N141" i="25"/>
  <c r="N149" i="25"/>
  <c r="N156" i="25"/>
  <c r="N145" i="25"/>
  <c r="N152" i="25"/>
  <c r="V160" i="25"/>
  <c r="V151" i="25"/>
  <c r="N109" i="25"/>
  <c r="N117" i="25"/>
  <c r="N124" i="25"/>
  <c r="N113" i="25"/>
  <c r="N120" i="25"/>
  <c r="V128" i="25"/>
  <c r="V119" i="25"/>
  <c r="N77" i="25"/>
  <c r="N85" i="25"/>
  <c r="N92" i="25"/>
  <c r="N81" i="25"/>
  <c r="N88" i="25"/>
  <c r="V96" i="25"/>
  <c r="V87" i="25"/>
  <c r="B21" i="25"/>
  <c r="P252" i="25"/>
  <c r="O252" i="25"/>
  <c r="B20" i="25"/>
  <c r="P248" i="25"/>
  <c r="O248" i="25"/>
  <c r="B19" i="25"/>
  <c r="P245" i="25"/>
  <c r="O245" i="25"/>
  <c r="B18" i="25"/>
  <c r="P241" i="25"/>
  <c r="O241" i="25"/>
  <c r="B17" i="25"/>
  <c r="P237" i="25"/>
  <c r="O237" i="25"/>
  <c r="N231" i="25"/>
  <c r="B16" i="25"/>
  <c r="P231" i="25"/>
  <c r="O231" i="25"/>
  <c r="N230" i="25"/>
  <c r="P230" i="25"/>
  <c r="O230" i="25"/>
  <c r="P228" i="25"/>
  <c r="O228" i="25"/>
  <c r="P220" i="25"/>
  <c r="O220" i="25"/>
  <c r="P216" i="25"/>
  <c r="O216" i="25"/>
  <c r="P213" i="25"/>
  <c r="O213" i="25"/>
  <c r="P209" i="25"/>
  <c r="O209" i="25"/>
  <c r="P205" i="25"/>
  <c r="O205" i="25"/>
  <c r="N199" i="25"/>
  <c r="P199" i="25"/>
  <c r="O199" i="25"/>
  <c r="N198" i="25"/>
  <c r="P198" i="25"/>
  <c r="O198" i="25"/>
  <c r="P196" i="25"/>
  <c r="O196" i="25"/>
  <c r="P188" i="25"/>
  <c r="O188" i="25"/>
  <c r="P184" i="25"/>
  <c r="O184" i="25"/>
  <c r="P181" i="25"/>
  <c r="O181" i="25"/>
  <c r="P177" i="25"/>
  <c r="O177" i="25"/>
  <c r="P173" i="25"/>
  <c r="O173" i="25"/>
  <c r="N167" i="25"/>
  <c r="P167" i="25"/>
  <c r="O167" i="25"/>
  <c r="N166" i="25"/>
  <c r="P166" i="25"/>
  <c r="O166" i="25"/>
  <c r="P164" i="25"/>
  <c r="O164" i="25"/>
  <c r="P156" i="25"/>
  <c r="O156" i="25"/>
  <c r="P152" i="25"/>
  <c r="O152" i="25"/>
  <c r="P149" i="25"/>
  <c r="O149" i="25"/>
  <c r="P145" i="25"/>
  <c r="O145" i="25"/>
  <c r="P141" i="25"/>
  <c r="O141" i="25"/>
  <c r="N135" i="25"/>
  <c r="P135" i="25"/>
  <c r="O135" i="25"/>
  <c r="N134" i="25"/>
  <c r="P134" i="25"/>
  <c r="O134" i="25"/>
  <c r="P132" i="25"/>
  <c r="O132" i="25"/>
  <c r="P124" i="25"/>
  <c r="O124" i="25"/>
  <c r="P120" i="25"/>
  <c r="O120" i="25"/>
  <c r="P117" i="25"/>
  <c r="O117" i="25"/>
  <c r="P113" i="25"/>
  <c r="O113" i="25"/>
  <c r="P109" i="25"/>
  <c r="O109" i="25"/>
  <c r="N103" i="25"/>
  <c r="P103" i="25"/>
  <c r="O103" i="25"/>
  <c r="N102" i="25"/>
  <c r="P102" i="25"/>
  <c r="O102" i="25"/>
  <c r="P100" i="25"/>
  <c r="O100" i="25"/>
  <c r="P92" i="25"/>
  <c r="O92" i="25"/>
  <c r="P88" i="25"/>
  <c r="O88" i="25"/>
  <c r="P85" i="25"/>
  <c r="O85" i="25"/>
  <c r="P81" i="25"/>
  <c r="O81" i="25"/>
  <c r="P77" i="25"/>
  <c r="O77" i="25"/>
  <c r="N71" i="25"/>
  <c r="P71" i="25"/>
  <c r="O71" i="25"/>
  <c r="N70" i="25"/>
  <c r="P70" i="25"/>
  <c r="O70" i="25"/>
  <c r="P68" i="25"/>
  <c r="O68" i="25"/>
  <c r="K229" i="25"/>
  <c r="K244" i="25"/>
  <c r="K251" i="25"/>
  <c r="S256" i="25"/>
  <c r="N256" i="25"/>
  <c r="M256" i="25"/>
  <c r="K255" i="25"/>
  <c r="S252" i="25"/>
  <c r="S248" i="25"/>
  <c r="S247" i="25"/>
  <c r="N247" i="25"/>
  <c r="M247" i="25"/>
  <c r="S245" i="25"/>
  <c r="S241" i="25"/>
  <c r="S240" i="25"/>
  <c r="N240" i="25"/>
  <c r="M240" i="25"/>
  <c r="S237" i="25"/>
  <c r="S236" i="25"/>
  <c r="N236" i="25"/>
  <c r="M236" i="25"/>
  <c r="K234" i="25"/>
  <c r="S231" i="25"/>
  <c r="S230" i="25"/>
  <c r="K197" i="25"/>
  <c r="K212" i="25"/>
  <c r="K219" i="25"/>
  <c r="S224" i="25"/>
  <c r="N224" i="25"/>
  <c r="M224" i="25"/>
  <c r="K223" i="25"/>
  <c r="S220" i="25"/>
  <c r="S216" i="25"/>
  <c r="S215" i="25"/>
  <c r="N215" i="25"/>
  <c r="M215" i="25"/>
  <c r="S213" i="25"/>
  <c r="S209" i="25"/>
  <c r="S208" i="25"/>
  <c r="N208" i="25"/>
  <c r="M208" i="25"/>
  <c r="S205" i="25"/>
  <c r="S204" i="25"/>
  <c r="N204" i="25"/>
  <c r="M204" i="25"/>
  <c r="K202" i="25"/>
  <c r="S199" i="25"/>
  <c r="S198" i="25"/>
  <c r="K165" i="25"/>
  <c r="K180" i="25"/>
  <c r="K187" i="25"/>
  <c r="S192" i="25"/>
  <c r="N192" i="25"/>
  <c r="M192" i="25"/>
  <c r="K191" i="25"/>
  <c r="S188" i="25"/>
  <c r="S184" i="25"/>
  <c r="S183" i="25"/>
  <c r="N183" i="25"/>
  <c r="M183" i="25"/>
  <c r="S181" i="25"/>
  <c r="S177" i="25"/>
  <c r="S176" i="25"/>
  <c r="N176" i="25"/>
  <c r="M176" i="25"/>
  <c r="S173" i="25"/>
  <c r="S172" i="25"/>
  <c r="N172" i="25"/>
  <c r="M172" i="25"/>
  <c r="K170" i="25"/>
  <c r="S167" i="25"/>
  <c r="S166" i="25"/>
  <c r="K133" i="25"/>
  <c r="K148" i="25"/>
  <c r="K155" i="25"/>
  <c r="S160" i="25"/>
  <c r="N160" i="25"/>
  <c r="M160" i="25"/>
  <c r="K159" i="25"/>
  <c r="S156" i="25"/>
  <c r="S152" i="25"/>
  <c r="S151" i="25"/>
  <c r="N151" i="25"/>
  <c r="M151" i="25"/>
  <c r="S149" i="25"/>
  <c r="S145" i="25"/>
  <c r="S144" i="25"/>
  <c r="N144" i="25"/>
  <c r="M144" i="25"/>
  <c r="S141" i="25"/>
  <c r="S140" i="25"/>
  <c r="N140" i="25"/>
  <c r="M140" i="25"/>
  <c r="K138" i="25"/>
  <c r="S135" i="25"/>
  <c r="S134" i="25"/>
  <c r="K101" i="25"/>
  <c r="K116" i="25"/>
  <c r="K123" i="25"/>
  <c r="S128" i="25"/>
  <c r="N128" i="25"/>
  <c r="M128" i="25"/>
  <c r="K127" i="25"/>
  <c r="S124" i="25"/>
  <c r="S120" i="25"/>
  <c r="S119" i="25"/>
  <c r="N119" i="25"/>
  <c r="M119" i="25"/>
  <c r="S117" i="25"/>
  <c r="S113" i="25"/>
  <c r="S112" i="25"/>
  <c r="N112" i="25"/>
  <c r="M112" i="25"/>
  <c r="S109" i="25"/>
  <c r="S108" i="25"/>
  <c r="N108" i="25"/>
  <c r="M108" i="25"/>
  <c r="K106" i="25"/>
  <c r="S103" i="25"/>
  <c r="S102" i="25"/>
  <c r="K69" i="25"/>
  <c r="K84" i="25"/>
  <c r="K91" i="25"/>
  <c r="S96" i="25"/>
  <c r="N96" i="25"/>
  <c r="M96" i="25"/>
  <c r="K95" i="25"/>
  <c r="I7" i="30"/>
  <c r="I8" i="30"/>
  <c r="I9" i="30"/>
  <c r="N44" i="30"/>
  <c r="V44" i="30"/>
  <c r="I10" i="30"/>
  <c r="I11" i="30"/>
  <c r="A15" i="30"/>
  <c r="A16" i="30"/>
  <c r="A17" i="30"/>
  <c r="A18" i="30"/>
  <c r="A19" i="30"/>
  <c r="A20" i="30"/>
  <c r="A21" i="30"/>
  <c r="A22" i="30"/>
  <c r="A23" i="30"/>
  <c r="A24" i="30"/>
  <c r="A25" i="30"/>
  <c r="A26" i="30"/>
  <c r="A27" i="30"/>
  <c r="A28" i="30"/>
  <c r="A29" i="30"/>
  <c r="A30" i="30"/>
  <c r="A31" i="30"/>
  <c r="A32" i="30"/>
  <c r="N338" i="30"/>
  <c r="P338" i="30"/>
  <c r="O338" i="30"/>
  <c r="N335" i="30"/>
  <c r="P335" i="30"/>
  <c r="O335" i="30"/>
  <c r="N332" i="30"/>
  <c r="P332" i="30"/>
  <c r="O332" i="30"/>
  <c r="N329" i="30"/>
  <c r="P329" i="30"/>
  <c r="O329" i="30"/>
  <c r="N328" i="30"/>
  <c r="P328" i="30"/>
  <c r="O328" i="30"/>
  <c r="N326" i="30"/>
  <c r="P326" i="30"/>
  <c r="O326" i="30"/>
  <c r="K327" i="30"/>
  <c r="K337" i="30"/>
  <c r="S338" i="30"/>
  <c r="R338" i="30"/>
  <c r="Q338" i="30"/>
  <c r="S335" i="30"/>
  <c r="K334" i="30"/>
  <c r="V332" i="30"/>
  <c r="K331" i="30"/>
  <c r="S332" i="30"/>
  <c r="R332" i="30"/>
  <c r="Q332" i="30"/>
  <c r="S329" i="30"/>
  <c r="S328" i="30"/>
  <c r="N310" i="30"/>
  <c r="K311" i="30"/>
  <c r="N294" i="30"/>
  <c r="K295" i="30"/>
  <c r="I15" i="30"/>
  <c r="I16" i="30"/>
  <c r="I17" i="30"/>
  <c r="I18" i="30"/>
  <c r="I19" i="30"/>
  <c r="I20" i="30"/>
  <c r="I21" i="30"/>
  <c r="I22" i="30"/>
  <c r="I23" i="30"/>
  <c r="I24" i="30"/>
  <c r="I25" i="30"/>
  <c r="I26" i="30"/>
  <c r="I27" i="30"/>
  <c r="I28" i="30"/>
  <c r="I29" i="30"/>
  <c r="I30" i="30"/>
  <c r="I31" i="30"/>
  <c r="I32" i="30"/>
  <c r="B266" i="25"/>
  <c r="P269" i="25"/>
  <c r="O269" i="25"/>
  <c r="P267" i="25"/>
  <c r="O267" i="25"/>
  <c r="P266" i="25"/>
  <c r="O266" i="25"/>
  <c r="H125" i="34"/>
  <c r="H126" i="34"/>
  <c r="H127" i="34"/>
  <c r="H128" i="34"/>
  <c r="H129" i="34"/>
  <c r="H130" i="34"/>
  <c r="H131" i="34"/>
  <c r="H132" i="34"/>
  <c r="H133" i="34"/>
  <c r="H134" i="34"/>
  <c r="H135" i="34"/>
  <c r="H136" i="34"/>
  <c r="H137" i="34"/>
  <c r="H138" i="34"/>
  <c r="I138" i="34"/>
  <c r="N138" i="34"/>
  <c r="K139" i="34"/>
  <c r="B168" i="3"/>
  <c r="S92" i="25"/>
  <c r="S88" i="25"/>
  <c r="S87" i="25"/>
  <c r="N87" i="25"/>
  <c r="M87" i="25"/>
  <c r="S85" i="25"/>
  <c r="S81" i="25"/>
  <c r="S80" i="25"/>
  <c r="N80" i="25"/>
  <c r="M80" i="25"/>
  <c r="S77" i="25"/>
  <c r="S76" i="25"/>
  <c r="N76" i="25"/>
  <c r="M76" i="25"/>
  <c r="K74" i="25"/>
  <c r="S71" i="25"/>
  <c r="S70" i="25"/>
  <c r="N45" i="25"/>
  <c r="N53" i="25"/>
  <c r="N60" i="25"/>
  <c r="N49" i="25"/>
  <c r="N56" i="25"/>
  <c r="V64" i="25"/>
  <c r="V55" i="25"/>
  <c r="N38" i="25"/>
  <c r="M44" i="25"/>
  <c r="M48" i="25"/>
  <c r="M55" i="25"/>
  <c r="M64" i="25"/>
  <c r="O60" i="25"/>
  <c r="O56" i="25"/>
  <c r="O53" i="25"/>
  <c r="O49" i="25"/>
  <c r="O45" i="25"/>
  <c r="O38" i="25"/>
  <c r="N37" i="25"/>
  <c r="O37" i="25"/>
  <c r="O35" i="25"/>
  <c r="K33" i="25"/>
  <c r="K36" i="25"/>
  <c r="K52" i="25"/>
  <c r="K59" i="25"/>
  <c r="K63" i="25"/>
  <c r="K42" i="25"/>
  <c r="N48" i="25"/>
  <c r="N55" i="25"/>
  <c r="N64" i="25"/>
  <c r="S48" i="25"/>
  <c r="N44" i="25"/>
  <c r="S64" i="25"/>
  <c r="S60" i="25"/>
  <c r="S56" i="25"/>
  <c r="S55" i="25"/>
  <c r="S53" i="25"/>
  <c r="P60" i="25"/>
  <c r="P56" i="25"/>
  <c r="P53" i="25"/>
  <c r="S49" i="25"/>
  <c r="S45" i="25"/>
  <c r="S44" i="25"/>
  <c r="S38" i="25"/>
  <c r="S37" i="25"/>
  <c r="P49" i="25"/>
  <c r="P45" i="25"/>
  <c r="P38" i="25"/>
  <c r="P37" i="25"/>
  <c r="P35" i="25"/>
  <c r="H14" i="25"/>
  <c r="A30" i="25"/>
  <c r="A29" i="25"/>
  <c r="A28" i="25"/>
  <c r="A27" i="25"/>
  <c r="A26" i="25"/>
  <c r="A25" i="25"/>
  <c r="A24" i="25"/>
  <c r="O310" i="30"/>
  <c r="P310" i="30"/>
  <c r="I19" i="27"/>
  <c r="I20" i="27"/>
  <c r="I21" i="27"/>
  <c r="N524" i="27"/>
  <c r="O524" i="27"/>
  <c r="N523" i="27"/>
  <c r="O523" i="27"/>
  <c r="N520" i="27"/>
  <c r="O520" i="27"/>
  <c r="N518" i="27"/>
  <c r="O518" i="27"/>
  <c r="I14" i="27"/>
  <c r="I17" i="27"/>
  <c r="N510" i="27"/>
  <c r="O510" i="27"/>
  <c r="O507" i="27"/>
  <c r="O503" i="27"/>
  <c r="N496" i="27"/>
  <c r="O496" i="27"/>
  <c r="O492" i="27"/>
  <c r="O487" i="27"/>
  <c r="N480" i="27"/>
  <c r="O480" i="27"/>
  <c r="O477" i="27"/>
  <c r="N476" i="27"/>
  <c r="O476" i="27"/>
  <c r="O473" i="27"/>
  <c r="N469" i="27"/>
  <c r="O469" i="27"/>
  <c r="N468" i="27"/>
  <c r="O468" i="27"/>
  <c r="N465" i="27"/>
  <c r="O465" i="27"/>
  <c r="N463" i="27"/>
  <c r="O463" i="27"/>
  <c r="N455" i="27"/>
  <c r="O455" i="27"/>
  <c r="O452" i="27"/>
  <c r="O448" i="27"/>
  <c r="N441" i="27"/>
  <c r="O441" i="27"/>
  <c r="O437" i="27"/>
  <c r="O432" i="27"/>
  <c r="N425" i="27"/>
  <c r="O425" i="27"/>
  <c r="O422" i="27"/>
  <c r="N421" i="27"/>
  <c r="O421" i="27"/>
  <c r="O418" i="27"/>
  <c r="N414" i="27"/>
  <c r="O414" i="27"/>
  <c r="N413" i="27"/>
  <c r="O413" i="27"/>
  <c r="N409" i="27"/>
  <c r="O409" i="27"/>
  <c r="N401" i="27"/>
  <c r="O401" i="27"/>
  <c r="O398" i="27"/>
  <c r="O394" i="27"/>
  <c r="N387" i="27"/>
  <c r="O387" i="27"/>
  <c r="O383" i="27"/>
  <c r="O378" i="27"/>
  <c r="N371" i="27"/>
  <c r="O371" i="27"/>
  <c r="O368" i="27"/>
  <c r="N367" i="27"/>
  <c r="O367" i="27"/>
  <c r="O364" i="27"/>
  <c r="N360" i="27"/>
  <c r="O360" i="27"/>
  <c r="N359" i="27"/>
  <c r="O359" i="27"/>
  <c r="N355" i="27"/>
  <c r="O355" i="27"/>
  <c r="N347" i="27"/>
  <c r="O347" i="27"/>
  <c r="O344" i="27"/>
  <c r="O340" i="27"/>
  <c r="N333" i="27"/>
  <c r="O333" i="27"/>
  <c r="O329" i="27"/>
  <c r="O324" i="27"/>
  <c r="N317" i="27"/>
  <c r="O317" i="27"/>
  <c r="O314" i="27"/>
  <c r="N313" i="27"/>
  <c r="O313" i="27"/>
  <c r="O310" i="27"/>
  <c r="N306" i="27"/>
  <c r="O306" i="27"/>
  <c r="N305" i="27"/>
  <c r="O305" i="27"/>
  <c r="N302" i="27"/>
  <c r="O302" i="27"/>
  <c r="N300" i="27"/>
  <c r="O300" i="27"/>
  <c r="N292" i="27"/>
  <c r="O292" i="27"/>
  <c r="O289" i="27"/>
  <c r="O285" i="27"/>
  <c r="N278" i="27"/>
  <c r="O278" i="27"/>
  <c r="O274" i="27"/>
  <c r="O269" i="27"/>
  <c r="N262" i="27"/>
  <c r="O262" i="27"/>
  <c r="O259" i="27"/>
  <c r="N258" i="27"/>
  <c r="O258" i="27"/>
  <c r="O255" i="27"/>
  <c r="N251" i="27"/>
  <c r="O251" i="27"/>
  <c r="N250" i="27"/>
  <c r="O250" i="27"/>
  <c r="N247" i="27"/>
  <c r="O247" i="27"/>
  <c r="N245" i="27"/>
  <c r="O245" i="27"/>
  <c r="N237" i="27"/>
  <c r="O237" i="27"/>
  <c r="O234" i="27"/>
  <c r="O230" i="27"/>
  <c r="N223" i="27"/>
  <c r="O223" i="27"/>
  <c r="O219" i="27"/>
  <c r="O214" i="27"/>
  <c r="N207" i="27"/>
  <c r="O207" i="27"/>
  <c r="O204" i="27"/>
  <c r="N203" i="27"/>
  <c r="O203" i="27"/>
  <c r="O200" i="27"/>
  <c r="N196" i="27"/>
  <c r="O196" i="27"/>
  <c r="N195" i="27"/>
  <c r="O195" i="27"/>
  <c r="N192" i="27"/>
  <c r="O192" i="27"/>
  <c r="N190" i="27"/>
  <c r="O190" i="27"/>
  <c r="N182" i="27"/>
  <c r="O182" i="27"/>
  <c r="O179" i="27"/>
  <c r="O175" i="27"/>
  <c r="N168" i="27"/>
  <c r="O168" i="27"/>
  <c r="O164" i="27"/>
  <c r="O159" i="27"/>
  <c r="N152" i="27"/>
  <c r="O152" i="27"/>
  <c r="O149" i="27"/>
  <c r="N148" i="27"/>
  <c r="O148" i="27"/>
  <c r="O145" i="27"/>
  <c r="N141" i="27"/>
  <c r="O141" i="27"/>
  <c r="N140" i="27"/>
  <c r="O140" i="27"/>
  <c r="N137" i="27"/>
  <c r="O137" i="27"/>
  <c r="N135" i="27"/>
  <c r="O135" i="27"/>
  <c r="N127" i="27"/>
  <c r="O127" i="27"/>
  <c r="O124" i="27"/>
  <c r="O120" i="27"/>
  <c r="N113" i="27"/>
  <c r="O113" i="27"/>
  <c r="O109" i="27"/>
  <c r="O104" i="27"/>
  <c r="N97" i="27"/>
  <c r="O97" i="27"/>
  <c r="O94" i="27"/>
  <c r="N93" i="27"/>
  <c r="O93" i="27"/>
  <c r="O90" i="27"/>
  <c r="N86" i="27"/>
  <c r="O86" i="27"/>
  <c r="N85" i="27"/>
  <c r="O85" i="27"/>
  <c r="N82" i="27"/>
  <c r="O82" i="27"/>
  <c r="N80" i="27"/>
  <c r="O80" i="27"/>
  <c r="N72" i="27"/>
  <c r="O72" i="27"/>
  <c r="O69" i="27"/>
  <c r="O65" i="27"/>
  <c r="N58" i="27"/>
  <c r="O58" i="27"/>
  <c r="O54" i="27"/>
  <c r="O49" i="27"/>
  <c r="N42" i="27"/>
  <c r="O42" i="27"/>
  <c r="O39" i="27"/>
  <c r="N38" i="27"/>
  <c r="O38" i="27"/>
  <c r="O35" i="27"/>
  <c r="N322" i="30"/>
  <c r="P322" i="30"/>
  <c r="O322" i="30"/>
  <c r="N319" i="30"/>
  <c r="P319" i="30"/>
  <c r="O319" i="30"/>
  <c r="N316" i="30"/>
  <c r="P316" i="30"/>
  <c r="O316" i="30"/>
  <c r="N313" i="30"/>
  <c r="P313" i="30"/>
  <c r="O313" i="30"/>
  <c r="N312" i="30"/>
  <c r="P312" i="30"/>
  <c r="O312" i="30"/>
  <c r="K321" i="30"/>
  <c r="S322" i="30"/>
  <c r="R322" i="30"/>
  <c r="Q322" i="30"/>
  <c r="S319" i="30"/>
  <c r="K318" i="30"/>
  <c r="V316" i="30"/>
  <c r="K315" i="30"/>
  <c r="S316" i="30"/>
  <c r="R316" i="30"/>
  <c r="Q316" i="30"/>
  <c r="S313" i="30"/>
  <c r="S312" i="30"/>
  <c r="N276" i="23"/>
  <c r="N277" i="23"/>
  <c r="P277" i="23"/>
  <c r="O277" i="23"/>
  <c r="A277" i="23"/>
  <c r="N165" i="9"/>
  <c r="K167" i="9"/>
  <c r="I170" i="2"/>
  <c r="N170" i="2"/>
  <c r="N172" i="2"/>
  <c r="E173" i="2"/>
  <c r="B173" i="2"/>
  <c r="P173" i="2"/>
  <c r="O173" i="2"/>
  <c r="M172" i="2"/>
  <c r="N290" i="23"/>
  <c r="N295" i="23"/>
  <c r="N300" i="23"/>
  <c r="N304" i="23"/>
  <c r="V300" i="23"/>
  <c r="N272" i="23"/>
  <c r="N246" i="23"/>
  <c r="N251" i="23"/>
  <c r="N256" i="23"/>
  <c r="N260" i="23"/>
  <c r="V256" i="23"/>
  <c r="N211" i="23"/>
  <c r="N216" i="23"/>
  <c r="N221" i="23"/>
  <c r="N225" i="23"/>
  <c r="V221" i="23"/>
  <c r="N176" i="23"/>
  <c r="N181" i="23"/>
  <c r="N186" i="23"/>
  <c r="N190" i="23"/>
  <c r="V186" i="23"/>
  <c r="N141" i="23"/>
  <c r="N146" i="23"/>
  <c r="N151" i="23"/>
  <c r="N155" i="23"/>
  <c r="V151" i="23"/>
  <c r="N35" i="23"/>
  <c r="N40" i="23"/>
  <c r="N45" i="23"/>
  <c r="N49" i="23"/>
  <c r="V45" i="23"/>
  <c r="N71" i="23"/>
  <c r="N76" i="23"/>
  <c r="N81" i="23"/>
  <c r="N85" i="23"/>
  <c r="V81" i="23"/>
  <c r="N9" i="15"/>
  <c r="N12" i="15"/>
  <c r="E15" i="15"/>
  <c r="E261" i="25"/>
  <c r="P524" i="27"/>
  <c r="P523" i="27"/>
  <c r="P520" i="27"/>
  <c r="P518" i="27"/>
  <c r="P510" i="27"/>
  <c r="P507" i="27"/>
  <c r="P503" i="27"/>
  <c r="P496" i="27"/>
  <c r="P492" i="27"/>
  <c r="P487" i="27"/>
  <c r="P480" i="27"/>
  <c r="P477" i="27"/>
  <c r="P476" i="27"/>
  <c r="P473" i="27"/>
  <c r="K513" i="27"/>
  <c r="K522" i="27"/>
  <c r="S524" i="27"/>
  <c r="R524" i="27"/>
  <c r="Q524" i="27"/>
  <c r="S523" i="27"/>
  <c r="R523" i="27"/>
  <c r="Q523" i="27"/>
  <c r="S520" i="27"/>
  <c r="S518" i="27"/>
  <c r="N485" i="27"/>
  <c r="N501" i="27"/>
  <c r="N516" i="27"/>
  <c r="V516" i="27"/>
  <c r="M516" i="27"/>
  <c r="K515" i="27"/>
  <c r="S507" i="27"/>
  <c r="S503" i="27"/>
  <c r="V501" i="27"/>
  <c r="M501" i="27"/>
  <c r="K500" i="27"/>
  <c r="S492" i="27"/>
  <c r="S487" i="27"/>
  <c r="M485" i="27"/>
  <c r="K484" i="27"/>
  <c r="S477" i="27"/>
  <c r="S476" i="27"/>
  <c r="S473" i="27"/>
  <c r="P469" i="27"/>
  <c r="P468" i="27"/>
  <c r="P465" i="27"/>
  <c r="P463" i="27"/>
  <c r="P455" i="27"/>
  <c r="P452" i="27"/>
  <c r="P448" i="27"/>
  <c r="P441" i="27"/>
  <c r="P437" i="27"/>
  <c r="P432" i="27"/>
  <c r="P425" i="27"/>
  <c r="P422" i="27"/>
  <c r="P421" i="27"/>
  <c r="P418" i="27"/>
  <c r="K458" i="27"/>
  <c r="K467" i="27"/>
  <c r="S469" i="27"/>
  <c r="R469" i="27"/>
  <c r="Q469" i="27"/>
  <c r="S468" i="27"/>
  <c r="R468" i="27"/>
  <c r="Q468" i="27"/>
  <c r="S465" i="27"/>
  <c r="S463" i="27"/>
  <c r="N430" i="27"/>
  <c r="N446" i="27"/>
  <c r="N461" i="27"/>
  <c r="V461" i="27"/>
  <c r="M461" i="27"/>
  <c r="K460" i="27"/>
  <c r="S452" i="27"/>
  <c r="S448" i="27"/>
  <c r="V446" i="27"/>
  <c r="M446" i="27"/>
  <c r="K445" i="27"/>
  <c r="S437" i="27"/>
  <c r="S432" i="27"/>
  <c r="M430" i="27"/>
  <c r="K429" i="27"/>
  <c r="S422" i="27"/>
  <c r="S421" i="27"/>
  <c r="S418" i="27"/>
  <c r="P414" i="27"/>
  <c r="P413" i="27"/>
  <c r="P409" i="27"/>
  <c r="P401" i="27"/>
  <c r="P398" i="27"/>
  <c r="P394" i="27"/>
  <c r="P387" i="27"/>
  <c r="P383" i="27"/>
  <c r="P378" i="27"/>
  <c r="P371" i="27"/>
  <c r="P368" i="27"/>
  <c r="P367" i="27"/>
  <c r="P364" i="27"/>
  <c r="K404" i="27"/>
  <c r="K412" i="27"/>
  <c r="S414" i="27"/>
  <c r="R414" i="27"/>
  <c r="Q414" i="27"/>
  <c r="S413" i="27"/>
  <c r="R413" i="27"/>
  <c r="Q413" i="27"/>
  <c r="S409" i="27"/>
  <c r="N376" i="27"/>
  <c r="N392" i="27"/>
  <c r="N407" i="27"/>
  <c r="V407" i="27"/>
  <c r="M407" i="27"/>
  <c r="K406" i="27"/>
  <c r="S398" i="27"/>
  <c r="S394" i="27"/>
  <c r="V392" i="27"/>
  <c r="M392" i="27"/>
  <c r="K391" i="27"/>
  <c r="S383" i="27"/>
  <c r="S378" i="27"/>
  <c r="M376" i="27"/>
  <c r="K375" i="27"/>
  <c r="S368" i="27"/>
  <c r="S367" i="27"/>
  <c r="S364" i="27"/>
  <c r="P360" i="27"/>
  <c r="P359" i="27"/>
  <c r="P355" i="27"/>
  <c r="P347" i="27"/>
  <c r="P344" i="27"/>
  <c r="P340" i="27"/>
  <c r="P333" i="27"/>
  <c r="P329" i="27"/>
  <c r="P324" i="27"/>
  <c r="P317" i="27"/>
  <c r="P314" i="27"/>
  <c r="P313" i="27"/>
  <c r="P310" i="27"/>
  <c r="K350" i="27"/>
  <c r="K358" i="27"/>
  <c r="S360" i="27"/>
  <c r="R360" i="27"/>
  <c r="Q360" i="27"/>
  <c r="S359" i="27"/>
  <c r="R359" i="27"/>
  <c r="Q359" i="27"/>
  <c r="S355" i="27"/>
  <c r="N322" i="27"/>
  <c r="N338" i="27"/>
  <c r="N353" i="27"/>
  <c r="V353" i="27"/>
  <c r="M353" i="27"/>
  <c r="K352" i="27"/>
  <c r="S344" i="27"/>
  <c r="S340" i="27"/>
  <c r="V338" i="27"/>
  <c r="M338" i="27"/>
  <c r="K337" i="27"/>
  <c r="S329" i="27"/>
  <c r="S324" i="27"/>
  <c r="M322" i="27"/>
  <c r="K321" i="27"/>
  <c r="S314" i="27"/>
  <c r="S313" i="27"/>
  <c r="S310" i="27"/>
  <c r="P306" i="27"/>
  <c r="P305" i="27"/>
  <c r="P302" i="27"/>
  <c r="P300" i="27"/>
  <c r="P292" i="27"/>
  <c r="P289" i="27"/>
  <c r="P285" i="27"/>
  <c r="P278" i="27"/>
  <c r="P274" i="27"/>
  <c r="P269" i="27"/>
  <c r="P262" i="27"/>
  <c r="P259" i="27"/>
  <c r="P258" i="27"/>
  <c r="P255" i="27"/>
  <c r="K295" i="27"/>
  <c r="K304" i="27"/>
  <c r="S306" i="27"/>
  <c r="R306" i="27"/>
  <c r="Q306" i="27"/>
  <c r="S305" i="27"/>
  <c r="R305" i="27"/>
  <c r="Q305" i="27"/>
  <c r="S302" i="27"/>
  <c r="S300" i="27"/>
  <c r="N267" i="27"/>
  <c r="N283" i="27"/>
  <c r="N298" i="27"/>
  <c r="V298" i="27"/>
  <c r="M298" i="27"/>
  <c r="K297" i="27"/>
  <c r="S289" i="27"/>
  <c r="S285" i="27"/>
  <c r="V283" i="27"/>
  <c r="M283" i="27"/>
  <c r="K282" i="27"/>
  <c r="S274" i="27"/>
  <c r="S269" i="27"/>
  <c r="M267" i="27"/>
  <c r="K266" i="27"/>
  <c r="S259" i="27"/>
  <c r="S258" i="27"/>
  <c r="S255" i="27"/>
  <c r="P251" i="27"/>
  <c r="P250" i="27"/>
  <c r="P247" i="27"/>
  <c r="P245" i="27"/>
  <c r="P237" i="27"/>
  <c r="P234" i="27"/>
  <c r="P230" i="27"/>
  <c r="P223" i="27"/>
  <c r="P219" i="27"/>
  <c r="P214" i="27"/>
  <c r="P207" i="27"/>
  <c r="P204" i="27"/>
  <c r="P203" i="27"/>
  <c r="P200" i="27"/>
  <c r="K240" i="27"/>
  <c r="K249" i="27"/>
  <c r="S251" i="27"/>
  <c r="R251" i="27"/>
  <c r="Q251" i="27"/>
  <c r="S250" i="27"/>
  <c r="R250" i="27"/>
  <c r="Q250" i="27"/>
  <c r="S247" i="27"/>
  <c r="S245" i="27"/>
  <c r="N212" i="27"/>
  <c r="N228" i="27"/>
  <c r="N243" i="27"/>
  <c r="V243" i="27"/>
  <c r="M243" i="27"/>
  <c r="K242" i="27"/>
  <c r="S234" i="27"/>
  <c r="S230" i="27"/>
  <c r="V228" i="27"/>
  <c r="M228" i="27"/>
  <c r="K227" i="27"/>
  <c r="S219" i="27"/>
  <c r="S214" i="27"/>
  <c r="M212" i="27"/>
  <c r="K211" i="27"/>
  <c r="S204" i="27"/>
  <c r="S203" i="27"/>
  <c r="S200" i="27"/>
  <c r="P196" i="27"/>
  <c r="P195" i="27"/>
  <c r="P192" i="27"/>
  <c r="P190" i="27"/>
  <c r="P182" i="27"/>
  <c r="P179" i="27"/>
  <c r="P175" i="27"/>
  <c r="P168" i="27"/>
  <c r="P164" i="27"/>
  <c r="P159" i="27"/>
  <c r="P152" i="27"/>
  <c r="P149" i="27"/>
  <c r="P148" i="27"/>
  <c r="P145" i="27"/>
  <c r="K185" i="27"/>
  <c r="K194" i="27"/>
  <c r="S196" i="27"/>
  <c r="R196" i="27"/>
  <c r="Q196" i="27"/>
  <c r="S195" i="27"/>
  <c r="R195" i="27"/>
  <c r="Q195" i="27"/>
  <c r="S192" i="27"/>
  <c r="S190" i="27"/>
  <c r="N157" i="27"/>
  <c r="N173" i="27"/>
  <c r="N188" i="27"/>
  <c r="V188" i="27"/>
  <c r="M188" i="27"/>
  <c r="K187" i="27"/>
  <c r="S179" i="27"/>
  <c r="S175" i="27"/>
  <c r="V173" i="27"/>
  <c r="M173" i="27"/>
  <c r="K172" i="27"/>
  <c r="S164" i="27"/>
  <c r="S159" i="27"/>
  <c r="M157" i="27"/>
  <c r="K156" i="27"/>
  <c r="S149" i="27"/>
  <c r="S148" i="27"/>
  <c r="S145" i="27"/>
  <c r="P141" i="27"/>
  <c r="P140" i="27"/>
  <c r="P137" i="27"/>
  <c r="P135" i="27"/>
  <c r="P127" i="27"/>
  <c r="P124" i="27"/>
  <c r="P120" i="27"/>
  <c r="P113" i="27"/>
  <c r="P109" i="27"/>
  <c r="P104" i="27"/>
  <c r="P97" i="27"/>
  <c r="P94" i="27"/>
  <c r="P93" i="27"/>
  <c r="P90" i="27"/>
  <c r="K130" i="27"/>
  <c r="K139" i="27"/>
  <c r="S141" i="27"/>
  <c r="R141" i="27"/>
  <c r="Q141" i="27"/>
  <c r="S140" i="27"/>
  <c r="R140" i="27"/>
  <c r="Q140" i="27"/>
  <c r="S137" i="27"/>
  <c r="S135" i="27"/>
  <c r="N102" i="27"/>
  <c r="N118" i="27"/>
  <c r="N133" i="27"/>
  <c r="V133" i="27"/>
  <c r="M133" i="27"/>
  <c r="K132" i="27"/>
  <c r="S124" i="27"/>
  <c r="S120" i="27"/>
  <c r="V118" i="27"/>
  <c r="M118" i="27"/>
  <c r="K117" i="27"/>
  <c r="S109" i="27"/>
  <c r="S104" i="27"/>
  <c r="M102" i="27"/>
  <c r="K101" i="27"/>
  <c r="S94" i="27"/>
  <c r="S93" i="27"/>
  <c r="S90" i="27"/>
  <c r="K77" i="27"/>
  <c r="K62" i="27"/>
  <c r="I51" i="34"/>
  <c r="N51" i="34"/>
  <c r="H42" i="34"/>
  <c r="N309" i="23"/>
  <c r="P309" i="23"/>
  <c r="O309" i="23"/>
  <c r="P305" i="23"/>
  <c r="O305" i="23"/>
  <c r="P300" i="23"/>
  <c r="O300" i="23"/>
  <c r="P296" i="23"/>
  <c r="O296" i="23"/>
  <c r="P290" i="23"/>
  <c r="O290" i="23"/>
  <c r="P286" i="23"/>
  <c r="O286" i="23"/>
  <c r="N285" i="23"/>
  <c r="P285" i="23"/>
  <c r="O285" i="23"/>
  <c r="P281" i="23"/>
  <c r="O281" i="23"/>
  <c r="N314" i="23"/>
  <c r="M314" i="23"/>
  <c r="K312" i="23"/>
  <c r="V309" i="23"/>
  <c r="S305" i="23"/>
  <c r="M304" i="23"/>
  <c r="K302" i="23"/>
  <c r="S296" i="23"/>
  <c r="S290" i="23"/>
  <c r="S295" i="23"/>
  <c r="M295" i="23"/>
  <c r="K293" i="23"/>
  <c r="S286" i="23"/>
  <c r="S285" i="23"/>
  <c r="P276" i="23"/>
  <c r="O276" i="23"/>
  <c r="P272" i="23"/>
  <c r="O272" i="23"/>
  <c r="K274" i="23"/>
  <c r="S277" i="23"/>
  <c r="S276" i="23"/>
  <c r="N265" i="23"/>
  <c r="P265" i="23"/>
  <c r="O265" i="23"/>
  <c r="P261" i="23"/>
  <c r="O261" i="23"/>
  <c r="P256" i="23"/>
  <c r="O256" i="23"/>
  <c r="P252" i="23"/>
  <c r="O252" i="23"/>
  <c r="P246" i="23"/>
  <c r="O246" i="23"/>
  <c r="P242" i="23"/>
  <c r="O242" i="23"/>
  <c r="N241" i="23"/>
  <c r="P241" i="23"/>
  <c r="O241" i="23"/>
  <c r="P237" i="23"/>
  <c r="O237" i="23"/>
  <c r="N270" i="23"/>
  <c r="M270" i="23"/>
  <c r="K268" i="23"/>
  <c r="V265" i="23"/>
  <c r="S261" i="23"/>
  <c r="M260" i="23"/>
  <c r="K258" i="23"/>
  <c r="S252" i="23"/>
  <c r="S246" i="23"/>
  <c r="S251" i="23"/>
  <c r="M251" i="23"/>
  <c r="K249" i="23"/>
  <c r="S242" i="23"/>
  <c r="S241" i="23"/>
  <c r="N230" i="23"/>
  <c r="P230" i="23"/>
  <c r="O230" i="23"/>
  <c r="P226" i="23"/>
  <c r="O226" i="23"/>
  <c r="P221" i="23"/>
  <c r="O221" i="23"/>
  <c r="P217" i="23"/>
  <c r="O217" i="23"/>
  <c r="P211" i="23"/>
  <c r="O211" i="23"/>
  <c r="P207" i="23"/>
  <c r="O207" i="23"/>
  <c r="N206" i="23"/>
  <c r="P206" i="23"/>
  <c r="O206" i="23"/>
  <c r="P202" i="23"/>
  <c r="O202" i="23"/>
  <c r="N235" i="23"/>
  <c r="M235" i="23"/>
  <c r="K233" i="23"/>
  <c r="V230" i="23"/>
  <c r="S226" i="23"/>
  <c r="M225" i="23"/>
  <c r="K223" i="23"/>
  <c r="S217" i="23"/>
  <c r="S211" i="23"/>
  <c r="S216" i="23"/>
  <c r="M216" i="23"/>
  <c r="K214" i="23"/>
  <c r="S207" i="23"/>
  <c r="S206" i="23"/>
  <c r="N195" i="23"/>
  <c r="P195" i="23"/>
  <c r="O195" i="23"/>
  <c r="P191" i="23"/>
  <c r="O191" i="23"/>
  <c r="P186" i="23"/>
  <c r="O186" i="23"/>
  <c r="P182" i="23"/>
  <c r="O182" i="23"/>
  <c r="P176" i="23"/>
  <c r="O176" i="23"/>
  <c r="P172" i="23"/>
  <c r="O172" i="23"/>
  <c r="N171" i="23"/>
  <c r="P171" i="23"/>
  <c r="O171" i="23"/>
  <c r="P167" i="23"/>
  <c r="O167" i="23"/>
  <c r="N200" i="23"/>
  <c r="M200" i="23"/>
  <c r="K198" i="23"/>
  <c r="V195" i="23"/>
  <c r="S191" i="23"/>
  <c r="M190" i="23"/>
  <c r="K188" i="23"/>
  <c r="S182" i="23"/>
  <c r="S176" i="23"/>
  <c r="S181" i="23"/>
  <c r="M181" i="23"/>
  <c r="K179" i="23"/>
  <c r="S172" i="23"/>
  <c r="S171" i="23"/>
  <c r="N160" i="23"/>
  <c r="P160" i="23"/>
  <c r="O160" i="23"/>
  <c r="P156" i="23"/>
  <c r="O156" i="23"/>
  <c r="P151" i="23"/>
  <c r="O151" i="23"/>
  <c r="P147" i="23"/>
  <c r="O147" i="23"/>
  <c r="P141" i="23"/>
  <c r="O141" i="23"/>
  <c r="P137" i="23"/>
  <c r="O137" i="23"/>
  <c r="N136" i="23"/>
  <c r="P136" i="23"/>
  <c r="O136" i="23"/>
  <c r="P132" i="23"/>
  <c r="O132" i="23"/>
  <c r="N165" i="23"/>
  <c r="M165" i="23"/>
  <c r="K163" i="23"/>
  <c r="V160" i="23"/>
  <c r="S156" i="23"/>
  <c r="M155" i="23"/>
  <c r="K153" i="23"/>
  <c r="S147" i="23"/>
  <c r="S141" i="23"/>
  <c r="S146" i="23"/>
  <c r="M146" i="23"/>
  <c r="K144" i="23"/>
  <c r="S137" i="23"/>
  <c r="S136" i="23"/>
  <c r="N125" i="23"/>
  <c r="P125" i="23"/>
  <c r="O125" i="23"/>
  <c r="P121" i="23"/>
  <c r="O121" i="23"/>
  <c r="P116" i="23"/>
  <c r="O116" i="23"/>
  <c r="P112" i="23"/>
  <c r="O112" i="23"/>
  <c r="P106" i="23"/>
  <c r="O106" i="23"/>
  <c r="P102" i="23"/>
  <c r="O102" i="23"/>
  <c r="N101" i="23"/>
  <c r="P101" i="23"/>
  <c r="O101" i="23"/>
  <c r="P97" i="23"/>
  <c r="O97" i="23"/>
  <c r="N130" i="23"/>
  <c r="M130" i="23"/>
  <c r="K128" i="23"/>
  <c r="V125" i="23"/>
  <c r="S121" i="23"/>
  <c r="M120" i="23"/>
  <c r="K118" i="23"/>
  <c r="S112" i="23"/>
  <c r="S106" i="23"/>
  <c r="S111" i="23"/>
  <c r="M111" i="23"/>
  <c r="K109" i="23"/>
  <c r="S102" i="23"/>
  <c r="S101" i="23"/>
  <c r="N90" i="23"/>
  <c r="P90" i="23"/>
  <c r="O90" i="23"/>
  <c r="P86" i="23"/>
  <c r="O86" i="23"/>
  <c r="P81" i="23"/>
  <c r="O81" i="23"/>
  <c r="P77" i="23"/>
  <c r="O77" i="23"/>
  <c r="P71" i="23"/>
  <c r="O71" i="23"/>
  <c r="P67" i="23"/>
  <c r="O67" i="23"/>
  <c r="N66" i="23"/>
  <c r="P66" i="23"/>
  <c r="O66" i="23"/>
  <c r="P62" i="23"/>
  <c r="O62" i="23"/>
  <c r="N95" i="23"/>
  <c r="M95" i="23"/>
  <c r="K93" i="23"/>
  <c r="V90" i="23"/>
  <c r="S86" i="23"/>
  <c r="M85" i="23"/>
  <c r="S77" i="23"/>
  <c r="S71" i="23"/>
  <c r="S76" i="23"/>
  <c r="M76" i="23"/>
  <c r="K74" i="23"/>
  <c r="S67" i="23"/>
  <c r="S66" i="23"/>
  <c r="K57" i="23"/>
  <c r="K47" i="23"/>
  <c r="K38" i="23"/>
  <c r="S35" i="23"/>
  <c r="S40" i="23"/>
  <c r="B15" i="15"/>
  <c r="P15" i="15"/>
  <c r="O15" i="15"/>
  <c r="E19" i="33"/>
  <c r="E15" i="33"/>
  <c r="I51" i="7"/>
  <c r="I57" i="7"/>
  <c r="I63" i="7"/>
  <c r="I69" i="7"/>
  <c r="I75" i="7"/>
  <c r="I81" i="7"/>
  <c r="I87" i="7"/>
  <c r="I93" i="7"/>
  <c r="I99" i="7"/>
  <c r="I105" i="7"/>
  <c r="I208" i="7"/>
  <c r="I210" i="7"/>
  <c r="N210" i="7"/>
  <c r="E222" i="7"/>
  <c r="O222" i="7"/>
  <c r="N6" i="2"/>
  <c r="E21" i="2"/>
  <c r="O21" i="2"/>
  <c r="W22" i="2"/>
  <c r="B21" i="2"/>
  <c r="P21" i="2"/>
  <c r="X22" i="2"/>
  <c r="I72" i="2"/>
  <c r="I76" i="2"/>
  <c r="I80" i="2"/>
  <c r="I84" i="2"/>
  <c r="I88" i="2"/>
  <c r="I92" i="2"/>
  <c r="I96" i="2"/>
  <c r="I100" i="2"/>
  <c r="I104" i="2"/>
  <c r="I108" i="2"/>
  <c r="I112" i="2"/>
  <c r="I116" i="2"/>
  <c r="I120" i="2"/>
  <c r="I124" i="2"/>
  <c r="I128" i="2"/>
  <c r="I132" i="2"/>
  <c r="I136" i="2"/>
  <c r="I140" i="2"/>
  <c r="I144" i="2"/>
  <c r="E145" i="2"/>
  <c r="E141" i="2"/>
  <c r="E137" i="2"/>
  <c r="E133" i="2"/>
  <c r="E129" i="2"/>
  <c r="E125" i="2"/>
  <c r="E121" i="2"/>
  <c r="E117" i="2"/>
  <c r="E113" i="2"/>
  <c r="E109" i="2"/>
  <c r="E105" i="2"/>
  <c r="E101" i="2"/>
  <c r="E97" i="2"/>
  <c r="E93" i="2"/>
  <c r="E89" i="2"/>
  <c r="E85" i="2"/>
  <c r="E81" i="2"/>
  <c r="E77" i="2"/>
  <c r="E73" i="2"/>
  <c r="I148" i="2"/>
  <c r="E149" i="2"/>
  <c r="E162" i="2"/>
  <c r="E166" i="2"/>
  <c r="F90" i="9"/>
  <c r="F110" i="9"/>
  <c r="C90" i="9"/>
  <c r="C110" i="9"/>
  <c r="F130" i="9"/>
  <c r="C130" i="9"/>
  <c r="W13" i="11"/>
  <c r="F13" i="11"/>
  <c r="N130" i="9"/>
  <c r="V130" i="9"/>
  <c r="N110" i="9"/>
  <c r="V110" i="9"/>
  <c r="N90" i="9"/>
  <c r="V90" i="9"/>
  <c r="I8" i="19"/>
  <c r="N8" i="19"/>
  <c r="E18" i="19"/>
  <c r="B19" i="33"/>
  <c r="P19" i="33"/>
  <c r="B15" i="33"/>
  <c r="P15" i="33"/>
  <c r="U188" i="9"/>
  <c r="U187" i="9"/>
  <c r="A21" i="8"/>
  <c r="A22" i="8"/>
  <c r="O23" i="8"/>
  <c r="A23" i="8"/>
  <c r="O24" i="8"/>
  <c r="A24" i="8"/>
  <c r="O25" i="8"/>
  <c r="A25" i="8"/>
  <c r="O26" i="8"/>
  <c r="A26" i="8"/>
  <c r="O27" i="8"/>
  <c r="A27" i="8"/>
  <c r="O28" i="8"/>
  <c r="A28" i="8"/>
  <c r="O29" i="8"/>
  <c r="A29" i="8"/>
  <c r="O30" i="8"/>
  <c r="A30" i="8"/>
  <c r="O31" i="8"/>
  <c r="A31" i="8"/>
  <c r="O32" i="8"/>
  <c r="A32" i="8"/>
  <c r="O33" i="8"/>
  <c r="A33" i="8"/>
  <c r="O34" i="8"/>
  <c r="A34" i="8"/>
  <c r="O35" i="8"/>
  <c r="A35" i="8"/>
  <c r="O36" i="8"/>
  <c r="A36" i="8"/>
  <c r="O37" i="8"/>
  <c r="A37" i="8"/>
  <c r="I82" i="8"/>
  <c r="P168" i="9"/>
  <c r="O168" i="9"/>
  <c r="S168" i="9"/>
  <c r="F18" i="2"/>
  <c r="N194" i="9"/>
  <c r="S198" i="9"/>
  <c r="S197" i="9"/>
  <c r="S196" i="9"/>
  <c r="S195" i="9"/>
  <c r="S188" i="9"/>
  <c r="S187" i="9"/>
  <c r="S186" i="9"/>
  <c r="K191" i="9"/>
  <c r="K93" i="9"/>
  <c r="K99" i="9"/>
  <c r="P101" i="9"/>
  <c r="K209" i="9"/>
  <c r="K113" i="9"/>
  <c r="K119" i="9"/>
  <c r="P121" i="9"/>
  <c r="K216" i="9"/>
  <c r="H168" i="9"/>
  <c r="S172" i="9"/>
  <c r="B61" i="9"/>
  <c r="P61" i="9"/>
  <c r="O61" i="9"/>
  <c r="N11" i="9"/>
  <c r="B55" i="9"/>
  <c r="A61" i="9"/>
  <c r="P55" i="9"/>
  <c r="O55" i="9"/>
  <c r="E70" i="9"/>
  <c r="B70" i="9"/>
  <c r="A55" i="9"/>
  <c r="P59" i="9"/>
  <c r="O59" i="9"/>
  <c r="K58" i="9"/>
  <c r="A59" i="9"/>
  <c r="T13" i="9"/>
  <c r="T12" i="9"/>
  <c r="H183" i="9"/>
  <c r="H200" i="9"/>
  <c r="D132" i="9"/>
  <c r="P211" i="9"/>
  <c r="G92" i="9"/>
  <c r="D92" i="9"/>
  <c r="B32" i="3"/>
  <c r="B31" i="3"/>
  <c r="K242" i="9"/>
  <c r="S238" i="9"/>
  <c r="S243" i="9"/>
  <c r="H240" i="9"/>
  <c r="I240" i="9"/>
  <c r="I243" i="9"/>
  <c r="A243" i="9"/>
  <c r="H238" i="9"/>
  <c r="P243" i="9"/>
  <c r="O243" i="9"/>
  <c r="N243" i="9"/>
  <c r="G243" i="9"/>
  <c r="D243" i="9"/>
  <c r="B74" i="3"/>
  <c r="P5" i="9"/>
  <c r="O5" i="9"/>
  <c r="P4" i="9"/>
  <c r="O4" i="9"/>
  <c r="P5" i="2"/>
  <c r="O5" i="2"/>
  <c r="P5" i="7"/>
  <c r="O5" i="7"/>
  <c r="S267" i="7"/>
  <c r="S266" i="7"/>
  <c r="S259" i="7"/>
  <c r="I267" i="7"/>
  <c r="I269" i="7"/>
  <c r="A269" i="7"/>
  <c r="A267" i="7"/>
  <c r="I260" i="7"/>
  <c r="A260" i="7"/>
  <c r="I232" i="7"/>
  <c r="I234" i="7"/>
  <c r="A234" i="7"/>
  <c r="S269" i="7"/>
  <c r="P269" i="7"/>
  <c r="O269" i="7"/>
  <c r="N269" i="7"/>
  <c r="R267" i="7"/>
  <c r="Q267" i="7"/>
  <c r="P267" i="7"/>
  <c r="O267" i="7"/>
  <c r="F267" i="7"/>
  <c r="C267" i="7"/>
  <c r="P266" i="7"/>
  <c r="O266" i="7"/>
  <c r="G266" i="7"/>
  <c r="D266" i="7"/>
  <c r="N5" i="36"/>
  <c r="I7" i="36"/>
  <c r="N7" i="36"/>
  <c r="V18" i="36"/>
  <c r="K15" i="36"/>
  <c r="S18" i="36"/>
  <c r="F18" i="36"/>
  <c r="C18" i="36"/>
  <c r="B17" i="36"/>
  <c r="P17" i="36"/>
  <c r="E17" i="36"/>
  <c r="O17" i="36"/>
  <c r="S10" i="36"/>
  <c r="P10" i="36"/>
  <c r="O10" i="36"/>
  <c r="S8" i="36"/>
  <c r="P8" i="36"/>
  <c r="O8" i="36"/>
  <c r="S7" i="36"/>
  <c r="P7" i="36"/>
  <c r="O7" i="36"/>
  <c r="A7" i="36"/>
  <c r="K6" i="36"/>
  <c r="P5" i="36"/>
  <c r="O5" i="36"/>
  <c r="G5" i="36"/>
  <c r="D5" i="36"/>
  <c r="A5" i="36"/>
  <c r="P4" i="36"/>
  <c r="O4" i="36"/>
  <c r="N6" i="35"/>
  <c r="I13" i="35"/>
  <c r="N13" i="35"/>
  <c r="V24" i="35"/>
  <c r="K11" i="35"/>
  <c r="S24" i="35"/>
  <c r="F24" i="35"/>
  <c r="C24" i="35"/>
  <c r="B23" i="35"/>
  <c r="P23" i="35"/>
  <c r="E23" i="35"/>
  <c r="O23" i="35"/>
  <c r="K21" i="35"/>
  <c r="S16" i="35"/>
  <c r="P16" i="35"/>
  <c r="O16" i="35"/>
  <c r="S14" i="35"/>
  <c r="P14" i="35"/>
  <c r="O14" i="35"/>
  <c r="F14" i="35"/>
  <c r="C14" i="35"/>
  <c r="S13" i="35"/>
  <c r="P13" i="35"/>
  <c r="O13" i="35"/>
  <c r="A13" i="35"/>
  <c r="K7" i="35"/>
  <c r="P6" i="35"/>
  <c r="O6" i="35"/>
  <c r="G6" i="35"/>
  <c r="F6" i="35"/>
  <c r="D6" i="35"/>
  <c r="C6" i="35"/>
  <c r="A6" i="35"/>
  <c r="P5" i="35"/>
  <c r="O5" i="35"/>
  <c r="P5" i="33"/>
  <c r="P6" i="33"/>
  <c r="P8" i="33"/>
  <c r="I30" i="9"/>
  <c r="A83" i="9"/>
  <c r="E9" i="11"/>
  <c r="B9" i="11"/>
  <c r="P9" i="11"/>
  <c r="P13" i="11"/>
  <c r="N260" i="7"/>
  <c r="N259" i="7"/>
  <c r="I194" i="7"/>
  <c r="N194" i="7"/>
  <c r="A194" i="7"/>
  <c r="P194" i="7"/>
  <c r="O194" i="7"/>
  <c r="I179" i="7"/>
  <c r="N179" i="7"/>
  <c r="A179" i="7"/>
  <c r="P179" i="7"/>
  <c r="O179" i="7"/>
  <c r="I166" i="7"/>
  <c r="N166" i="7"/>
  <c r="A166" i="7"/>
  <c r="P166" i="7"/>
  <c r="O166" i="7"/>
  <c r="Q156" i="7"/>
  <c r="R156" i="7"/>
  <c r="Q172" i="7"/>
  <c r="R172" i="7"/>
  <c r="Q176" i="7"/>
  <c r="R176" i="7"/>
  <c r="Q188" i="7"/>
  <c r="R188" i="7"/>
  <c r="F137" i="7"/>
  <c r="C137" i="7"/>
  <c r="F124" i="7"/>
  <c r="C124" i="7"/>
  <c r="F128" i="7"/>
  <c r="C128" i="7"/>
  <c r="F111" i="7"/>
  <c r="C111" i="7"/>
  <c r="N105"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N205" i="7"/>
  <c r="N204" i="7"/>
  <c r="N203" i="7"/>
  <c r="N202" i="7"/>
  <c r="N201" i="7"/>
  <c r="N200" i="7"/>
  <c r="N199" i="7"/>
  <c r="N198" i="7"/>
  <c r="N197" i="7"/>
  <c r="N196" i="7"/>
  <c r="N195" i="7"/>
  <c r="N191" i="7"/>
  <c r="N190" i="7"/>
  <c r="N189" i="7"/>
  <c r="N188" i="7"/>
  <c r="N187" i="7"/>
  <c r="N186" i="7"/>
  <c r="N185" i="7"/>
  <c r="N184" i="7"/>
  <c r="N183" i="7"/>
  <c r="N182" i="7"/>
  <c r="N181" i="7"/>
  <c r="N180" i="7"/>
  <c r="N176" i="7"/>
  <c r="N175" i="7"/>
  <c r="N174" i="7"/>
  <c r="N173" i="7"/>
  <c r="N172" i="7"/>
  <c r="N171" i="7"/>
  <c r="N170" i="7"/>
  <c r="N169" i="7"/>
  <c r="N168" i="7"/>
  <c r="N167" i="7"/>
  <c r="N163" i="7"/>
  <c r="N162" i="7"/>
  <c r="N161" i="7"/>
  <c r="N160" i="7"/>
  <c r="N159" i="7"/>
  <c r="N158" i="7"/>
  <c r="N157" i="7"/>
  <c r="N156" i="7"/>
  <c r="N155" i="7"/>
  <c r="N154" i="7"/>
  <c r="N153" i="7"/>
  <c r="O158" i="7"/>
  <c r="P158" i="7"/>
  <c r="S158" i="7"/>
  <c r="A105" i="7"/>
  <c r="A107" i="7"/>
  <c r="A168" i="9"/>
  <c r="N168" i="9"/>
  <c r="I29" i="9"/>
  <c r="I28" i="9"/>
  <c r="H165" i="9"/>
  <c r="F6" i="2"/>
  <c r="V6" i="2"/>
  <c r="P54" i="9"/>
  <c r="O54" i="9"/>
  <c r="A54" i="9"/>
  <c r="T11" i="9"/>
  <c r="N10" i="9"/>
  <c r="K52" i="9"/>
  <c r="T10" i="9"/>
  <c r="B261" i="25"/>
  <c r="P261" i="25"/>
  <c r="O261" i="25"/>
  <c r="O4" i="20"/>
  <c r="P4" i="20"/>
  <c r="I530" i="27"/>
  <c r="I536" i="27"/>
  <c r="I542" i="27"/>
  <c r="I548" i="27"/>
  <c r="I554" i="27"/>
  <c r="I557" i="27"/>
  <c r="A557" i="27"/>
  <c r="I556" i="27"/>
  <c r="A556" i="27"/>
  <c r="A554" i="27"/>
  <c r="I550" i="27"/>
  <c r="A550" i="27"/>
  <c r="A548" i="27"/>
  <c r="I544" i="27"/>
  <c r="A544" i="27"/>
  <c r="A542" i="27"/>
  <c r="I538" i="27"/>
  <c r="A538" i="27"/>
  <c r="A536" i="27"/>
  <c r="I532" i="27"/>
  <c r="A532" i="27"/>
  <c r="A530" i="27"/>
  <c r="A115" i="34"/>
  <c r="A117" i="34"/>
  <c r="H85" i="34"/>
  <c r="H86" i="34"/>
  <c r="H87" i="34"/>
  <c r="H88" i="34"/>
  <c r="H89" i="34"/>
  <c r="H90" i="34"/>
  <c r="H91" i="34"/>
  <c r="H92" i="34"/>
  <c r="I92" i="34"/>
  <c r="N92" i="34"/>
  <c r="A92" i="34"/>
  <c r="A94" i="34"/>
  <c r="H69" i="34"/>
  <c r="H70" i="34"/>
  <c r="H71" i="34"/>
  <c r="H72" i="34"/>
  <c r="H73" i="34"/>
  <c r="H74" i="34"/>
  <c r="H75" i="34"/>
  <c r="H76" i="34"/>
  <c r="I76" i="34"/>
  <c r="N76" i="34"/>
  <c r="A76" i="34"/>
  <c r="A78" i="34"/>
  <c r="A59" i="34"/>
  <c r="A61" i="34"/>
  <c r="E15" i="2"/>
  <c r="W15" i="2"/>
  <c r="F15" i="2"/>
  <c r="C262" i="25"/>
  <c r="F262" i="25"/>
  <c r="Q86" i="27"/>
  <c r="Q85" i="27"/>
  <c r="C19" i="19"/>
  <c r="F19" i="19"/>
  <c r="F22" i="31"/>
  <c r="C22" i="31"/>
  <c r="F79" i="20"/>
  <c r="F76" i="20"/>
  <c r="F69" i="20"/>
  <c r="F59" i="20"/>
  <c r="F54" i="20"/>
  <c r="F47" i="20"/>
  <c r="F39" i="20"/>
  <c r="F34" i="20"/>
  <c r="F26" i="20"/>
  <c r="F22" i="20"/>
  <c r="F14" i="20"/>
  <c r="F11" i="20"/>
  <c r="F6" i="20"/>
  <c r="C79" i="20"/>
  <c r="C76" i="20"/>
  <c r="C69" i="20"/>
  <c r="C59" i="20"/>
  <c r="C54" i="20"/>
  <c r="C47" i="20"/>
  <c r="C39" i="20"/>
  <c r="C34" i="20"/>
  <c r="C26" i="20"/>
  <c r="C22" i="20"/>
  <c r="C14" i="20"/>
  <c r="C11" i="20"/>
  <c r="C6" i="20"/>
  <c r="A8" i="19"/>
  <c r="A6" i="19"/>
  <c r="I140" i="34"/>
  <c r="N140" i="34"/>
  <c r="A140" i="34"/>
  <c r="A138" i="34"/>
  <c r="I137" i="34"/>
  <c r="N137" i="34"/>
  <c r="A137" i="34"/>
  <c r="I125" i="34"/>
  <c r="N125" i="34"/>
  <c r="A125" i="34"/>
  <c r="I123" i="34"/>
  <c r="N123" i="34"/>
  <c r="A123" i="34"/>
  <c r="A114" i="34"/>
  <c r="A113" i="34"/>
  <c r="A112" i="34"/>
  <c r="A111" i="34"/>
  <c r="A110" i="34"/>
  <c r="A109" i="34"/>
  <c r="A108" i="34"/>
  <c r="A107" i="34"/>
  <c r="A106" i="34"/>
  <c r="A105" i="34"/>
  <c r="A104" i="34"/>
  <c r="A103" i="34"/>
  <c r="A102" i="34"/>
  <c r="A101" i="34"/>
  <c r="A100" i="34"/>
  <c r="A99" i="34"/>
  <c r="I91" i="34"/>
  <c r="N91" i="34"/>
  <c r="A91" i="34"/>
  <c r="I90" i="34"/>
  <c r="N90" i="34"/>
  <c r="A90" i="34"/>
  <c r="I89" i="34"/>
  <c r="N89" i="34"/>
  <c r="A89" i="34"/>
  <c r="I88" i="34"/>
  <c r="N88" i="34"/>
  <c r="A88" i="34"/>
  <c r="I87" i="34"/>
  <c r="N87" i="34"/>
  <c r="A87" i="34"/>
  <c r="I86" i="34"/>
  <c r="N86" i="34"/>
  <c r="A86" i="34"/>
  <c r="I85" i="34"/>
  <c r="N85" i="34"/>
  <c r="A85" i="34"/>
  <c r="I84" i="34"/>
  <c r="N84" i="34"/>
  <c r="A84" i="34"/>
  <c r="I75" i="34"/>
  <c r="N75" i="34"/>
  <c r="A75" i="34"/>
  <c r="I74" i="34"/>
  <c r="N74" i="34"/>
  <c r="A74" i="34"/>
  <c r="I73" i="34"/>
  <c r="N73" i="34"/>
  <c r="A73" i="34"/>
  <c r="I72" i="34"/>
  <c r="N72" i="34"/>
  <c r="A72" i="34"/>
  <c r="I71" i="34"/>
  <c r="N71" i="34"/>
  <c r="A71" i="34"/>
  <c r="I70" i="34"/>
  <c r="N70" i="34"/>
  <c r="A70" i="34"/>
  <c r="I69" i="34"/>
  <c r="N69" i="34"/>
  <c r="A69" i="34"/>
  <c r="I68" i="34"/>
  <c r="N68" i="34"/>
  <c r="A68" i="34"/>
  <c r="I58" i="34"/>
  <c r="N58" i="34"/>
  <c r="A58" i="34"/>
  <c r="I57" i="34"/>
  <c r="N57" i="34"/>
  <c r="A57" i="34"/>
  <c r="I56" i="34"/>
  <c r="N56" i="34"/>
  <c r="A56" i="34"/>
  <c r="I55" i="34"/>
  <c r="N55" i="34"/>
  <c r="A55" i="34"/>
  <c r="I54" i="34"/>
  <c r="N54" i="34"/>
  <c r="A54" i="34"/>
  <c r="I53" i="34"/>
  <c r="N53" i="34"/>
  <c r="A53" i="34"/>
  <c r="I52" i="34"/>
  <c r="N52" i="34"/>
  <c r="A52" i="34"/>
  <c r="A51" i="34"/>
  <c r="I44" i="34"/>
  <c r="N44" i="34"/>
  <c r="A44" i="34"/>
  <c r="A42" i="34"/>
  <c r="I38" i="34"/>
  <c r="N38" i="34"/>
  <c r="A38" i="34"/>
  <c r="A36" i="34"/>
  <c r="I32" i="34"/>
  <c r="N32" i="34"/>
  <c r="A32" i="34"/>
  <c r="A30" i="34"/>
  <c r="I26" i="34"/>
  <c r="N26" i="34"/>
  <c r="A26" i="34"/>
  <c r="A24" i="34"/>
  <c r="I20" i="34"/>
  <c r="N20" i="34"/>
  <c r="A20" i="34"/>
  <c r="A18" i="34"/>
  <c r="I14" i="34"/>
  <c r="N14" i="34"/>
  <c r="A14" i="34"/>
  <c r="A12" i="34"/>
  <c r="I8" i="34"/>
  <c r="N8" i="34"/>
  <c r="A8" i="34"/>
  <c r="A6" i="34"/>
  <c r="Q260" i="7"/>
  <c r="F260" i="7"/>
  <c r="Q253" i="7"/>
  <c r="F253" i="7"/>
  <c r="Q246" i="7"/>
  <c r="F246" i="7"/>
  <c r="Q239" i="7"/>
  <c r="F239" i="7"/>
  <c r="Q232" i="7"/>
  <c r="F232" i="7"/>
  <c r="R260" i="7"/>
  <c r="C260" i="7"/>
  <c r="R253" i="7"/>
  <c r="C253" i="7"/>
  <c r="R246" i="7"/>
  <c r="C246" i="7"/>
  <c r="R239" i="7"/>
  <c r="C239" i="7"/>
  <c r="R232" i="7"/>
  <c r="C232" i="7"/>
  <c r="F41" i="7"/>
  <c r="C41" i="7"/>
  <c r="W23" i="11"/>
  <c r="F23" i="11"/>
  <c r="X23" i="11"/>
  <c r="C23" i="11"/>
  <c r="X13" i="11"/>
  <c r="C13" i="11"/>
  <c r="C223" i="7"/>
  <c r="F223" i="7"/>
  <c r="C6" i="23"/>
  <c r="W20" i="33"/>
  <c r="F20" i="33"/>
  <c r="X20" i="33"/>
  <c r="C20" i="33"/>
  <c r="W16" i="33"/>
  <c r="F16" i="33"/>
  <c r="X16" i="33"/>
  <c r="C16" i="33"/>
  <c r="C40" i="9"/>
  <c r="C36" i="9"/>
  <c r="F40" i="9"/>
  <c r="F36" i="9"/>
  <c r="X167" i="2"/>
  <c r="C167" i="2"/>
  <c r="X163" i="2"/>
  <c r="C163" i="2"/>
  <c r="B149" i="2"/>
  <c r="X150" i="2"/>
  <c r="C150" i="2"/>
  <c r="B145" i="2"/>
  <c r="X146" i="2"/>
  <c r="C146" i="2"/>
  <c r="B141" i="2"/>
  <c r="X142" i="2"/>
  <c r="C142" i="2"/>
  <c r="B137" i="2"/>
  <c r="X138" i="2"/>
  <c r="C138" i="2"/>
  <c r="B133" i="2"/>
  <c r="X134" i="2"/>
  <c r="C134" i="2"/>
  <c r="B129" i="2"/>
  <c r="X130" i="2"/>
  <c r="C130" i="2"/>
  <c r="B125" i="2"/>
  <c r="X126" i="2"/>
  <c r="C126" i="2"/>
  <c r="B121" i="2"/>
  <c r="X122" i="2"/>
  <c r="C122" i="2"/>
  <c r="B117" i="2"/>
  <c r="X118" i="2"/>
  <c r="C118" i="2"/>
  <c r="B113" i="2"/>
  <c r="X114" i="2"/>
  <c r="C114" i="2"/>
  <c r="B109" i="2"/>
  <c r="X110" i="2"/>
  <c r="C110" i="2"/>
  <c r="B105" i="2"/>
  <c r="X106" i="2"/>
  <c r="C106" i="2"/>
  <c r="B101" i="2"/>
  <c r="X102" i="2"/>
  <c r="C102" i="2"/>
  <c r="B97" i="2"/>
  <c r="X98" i="2"/>
  <c r="C98" i="2"/>
  <c r="B93" i="2"/>
  <c r="X94" i="2"/>
  <c r="C94" i="2"/>
  <c r="B89" i="2"/>
  <c r="X90" i="2"/>
  <c r="C90" i="2"/>
  <c r="B85" i="2"/>
  <c r="X86" i="2"/>
  <c r="C86" i="2"/>
  <c r="B81" i="2"/>
  <c r="X82" i="2"/>
  <c r="C82" i="2"/>
  <c r="B77" i="2"/>
  <c r="X78" i="2"/>
  <c r="C78" i="2"/>
  <c r="W167" i="2"/>
  <c r="F167" i="2"/>
  <c r="W163" i="2"/>
  <c r="F163" i="2"/>
  <c r="W150" i="2"/>
  <c r="F150" i="2"/>
  <c r="W146" i="2"/>
  <c r="F146" i="2"/>
  <c r="W142" i="2"/>
  <c r="F142" i="2"/>
  <c r="W138" i="2"/>
  <c r="F138" i="2"/>
  <c r="W134" i="2"/>
  <c r="F134" i="2"/>
  <c r="W130" i="2"/>
  <c r="F130" i="2"/>
  <c r="W126" i="2"/>
  <c r="F126" i="2"/>
  <c r="W122" i="2"/>
  <c r="F122" i="2"/>
  <c r="W118" i="2"/>
  <c r="F118" i="2"/>
  <c r="W114" i="2"/>
  <c r="F114" i="2"/>
  <c r="W110" i="2"/>
  <c r="F110" i="2"/>
  <c r="W106" i="2"/>
  <c r="F106" i="2"/>
  <c r="W102" i="2"/>
  <c r="F102" i="2"/>
  <c r="W98" i="2"/>
  <c r="F98" i="2"/>
  <c r="W94" i="2"/>
  <c r="F94" i="2"/>
  <c r="W90" i="2"/>
  <c r="F90" i="2"/>
  <c r="W86" i="2"/>
  <c r="F86" i="2"/>
  <c r="W82" i="2"/>
  <c r="F82" i="2"/>
  <c r="W78" i="2"/>
  <c r="F78" i="2"/>
  <c r="W74" i="2"/>
  <c r="F74" i="2"/>
  <c r="B73" i="2"/>
  <c r="X74" i="2"/>
  <c r="C74" i="2"/>
  <c r="B69" i="2"/>
  <c r="X70" i="2"/>
  <c r="C70" i="2"/>
  <c r="F22" i="2"/>
  <c r="C22" i="2"/>
  <c r="B15" i="2"/>
  <c r="X15" i="2"/>
  <c r="C15" i="2"/>
  <c r="C18" i="2"/>
  <c r="H6" i="11"/>
  <c r="E10" i="2"/>
  <c r="E19" i="11"/>
  <c r="N554" i="27"/>
  <c r="K527" i="27"/>
  <c r="K555" i="27"/>
  <c r="S556" i="27"/>
  <c r="P556" i="27"/>
  <c r="O556" i="27"/>
  <c r="N556" i="27"/>
  <c r="O38" i="8"/>
  <c r="O40" i="8"/>
  <c r="O42" i="8"/>
  <c r="O44" i="8"/>
  <c r="O46" i="8"/>
  <c r="O48" i="8"/>
  <c r="O50" i="8"/>
  <c r="O52" i="8"/>
  <c r="O54" i="8"/>
  <c r="O56" i="8"/>
  <c r="O58" i="8"/>
  <c r="O60" i="8"/>
  <c r="O62" i="8"/>
  <c r="H62" i="8"/>
  <c r="G62" i="8"/>
  <c r="H60" i="8"/>
  <c r="G60" i="8"/>
  <c r="H58" i="8"/>
  <c r="G58" i="8"/>
  <c r="H56" i="8"/>
  <c r="G56" i="8"/>
  <c r="H54" i="8"/>
  <c r="G54" i="8"/>
  <c r="H52" i="8"/>
  <c r="G52" i="8"/>
  <c r="H50" i="8"/>
  <c r="G50" i="8"/>
  <c r="H48" i="8"/>
  <c r="G48" i="8"/>
  <c r="H46" i="8"/>
  <c r="G46" i="8"/>
  <c r="H44" i="8"/>
  <c r="G44" i="8"/>
  <c r="H42" i="8"/>
  <c r="G42" i="8"/>
  <c r="H40" i="8"/>
  <c r="G40" i="8"/>
  <c r="H38" i="8"/>
  <c r="G38" i="8"/>
  <c r="H36" i="8"/>
  <c r="G36" i="8"/>
  <c r="H34" i="8"/>
  <c r="G34" i="8"/>
  <c r="H32" i="8"/>
  <c r="G32" i="8"/>
  <c r="H30" i="8"/>
  <c r="G30" i="8"/>
  <c r="H28" i="8"/>
  <c r="G28" i="8"/>
  <c r="H26" i="8"/>
  <c r="G26" i="8"/>
  <c r="H24" i="8"/>
  <c r="G24" i="8"/>
  <c r="H22" i="8"/>
  <c r="G22" i="8"/>
  <c r="B143" i="3"/>
  <c r="B142" i="3"/>
  <c r="B141" i="3"/>
  <c r="B118" i="3"/>
  <c r="B109" i="3"/>
  <c r="B101" i="3"/>
  <c r="B100" i="3"/>
  <c r="B99" i="3"/>
  <c r="B98" i="3"/>
  <c r="B97" i="3"/>
  <c r="C88" i="3"/>
  <c r="C87" i="3"/>
  <c r="P205" i="7"/>
  <c r="O205" i="7"/>
  <c r="P204" i="7"/>
  <c r="O204" i="7"/>
  <c r="P203" i="7"/>
  <c r="O203" i="7"/>
  <c r="P202" i="7"/>
  <c r="O202" i="7"/>
  <c r="P201" i="7"/>
  <c r="O201" i="7"/>
  <c r="S205" i="7"/>
  <c r="S204" i="7"/>
  <c r="S203" i="7"/>
  <c r="S202" i="7"/>
  <c r="S201" i="7"/>
  <c r="A147" i="7"/>
  <c r="A148" i="7"/>
  <c r="A149" i="7"/>
  <c r="A150" i="7"/>
  <c r="A151" i="7"/>
  <c r="B166" i="2"/>
  <c r="P23" i="11"/>
  <c r="O23" i="11"/>
  <c r="N27" i="9"/>
  <c r="E180" i="9"/>
  <c r="N24" i="9"/>
  <c r="E178" i="9"/>
  <c r="N23" i="9"/>
  <c r="E177" i="9"/>
  <c r="N22" i="9"/>
  <c r="E176" i="9"/>
  <c r="E173" i="9"/>
  <c r="N31" i="9"/>
  <c r="E84" i="9"/>
  <c r="N28" i="9"/>
  <c r="E81" i="9"/>
  <c r="E79" i="9"/>
  <c r="N26" i="9"/>
  <c r="E78" i="9"/>
  <c r="E77" i="9"/>
  <c r="E76" i="9"/>
  <c r="E71" i="9"/>
  <c r="N9" i="9"/>
  <c r="E49" i="9"/>
  <c r="N8" i="9"/>
  <c r="E48" i="9"/>
  <c r="P5" i="31"/>
  <c r="P6" i="31"/>
  <c r="P8" i="31"/>
  <c r="I11" i="31"/>
  <c r="P11" i="31"/>
  <c r="P12" i="31"/>
  <c r="P14" i="31"/>
  <c r="N47" i="27"/>
  <c r="N63" i="27"/>
  <c r="N78" i="27"/>
  <c r="V78" i="27"/>
  <c r="K5" i="11"/>
  <c r="B3" i="1"/>
  <c r="N54" i="23"/>
  <c r="N59" i="23"/>
  <c r="V54" i="23"/>
  <c r="S80" i="27"/>
  <c r="P80" i="27"/>
  <c r="A18" i="27"/>
  <c r="O35" i="23"/>
  <c r="P35" i="23"/>
  <c r="G138" i="34"/>
  <c r="D138" i="34"/>
  <c r="G137" i="34"/>
  <c r="D137" i="34"/>
  <c r="G136" i="34"/>
  <c r="D136" i="34"/>
  <c r="G135" i="34"/>
  <c r="D135" i="34"/>
  <c r="G134" i="34"/>
  <c r="D134" i="34"/>
  <c r="G133" i="34"/>
  <c r="D133" i="34"/>
  <c r="G132" i="34"/>
  <c r="D132" i="34"/>
  <c r="G131" i="34"/>
  <c r="D131" i="34"/>
  <c r="G130" i="34"/>
  <c r="D130" i="34"/>
  <c r="G129" i="34"/>
  <c r="D129" i="34"/>
  <c r="G128" i="34"/>
  <c r="D128" i="34"/>
  <c r="G127" i="34"/>
  <c r="D127" i="34"/>
  <c r="G126" i="34"/>
  <c r="D126" i="34"/>
  <c r="G125" i="34"/>
  <c r="D125" i="34"/>
  <c r="G124" i="34"/>
  <c r="D124" i="34"/>
  <c r="G123" i="34"/>
  <c r="D123" i="34"/>
  <c r="G115" i="34"/>
  <c r="D115" i="34"/>
  <c r="G114" i="34"/>
  <c r="D114" i="34"/>
  <c r="G113" i="34"/>
  <c r="D113" i="34"/>
  <c r="G112" i="34"/>
  <c r="D112" i="34"/>
  <c r="G111" i="34"/>
  <c r="D111" i="34"/>
  <c r="G110" i="34"/>
  <c r="D110" i="34"/>
  <c r="G109" i="34"/>
  <c r="D109" i="34"/>
  <c r="G108" i="34"/>
  <c r="D108" i="34"/>
  <c r="G107" i="34"/>
  <c r="D107" i="34"/>
  <c r="G106" i="34"/>
  <c r="D106" i="34"/>
  <c r="G105" i="34"/>
  <c r="D105" i="34"/>
  <c r="G104" i="34"/>
  <c r="D104" i="34"/>
  <c r="G103" i="34"/>
  <c r="D103" i="34"/>
  <c r="G102" i="34"/>
  <c r="D102" i="34"/>
  <c r="G101" i="34"/>
  <c r="D101" i="34"/>
  <c r="G100" i="34"/>
  <c r="D100" i="34"/>
  <c r="G99" i="34"/>
  <c r="D99" i="34"/>
  <c r="K10" i="31"/>
  <c r="G554" i="27"/>
  <c r="G548" i="27"/>
  <c r="G542" i="27"/>
  <c r="G536" i="27"/>
  <c r="G530" i="27"/>
  <c r="D554" i="27"/>
  <c r="D548" i="27"/>
  <c r="D542" i="27"/>
  <c r="D536" i="27"/>
  <c r="D530" i="27"/>
  <c r="S557" i="27"/>
  <c r="S554" i="27"/>
  <c r="N548" i="27"/>
  <c r="K549" i="27"/>
  <c r="S550" i="27"/>
  <c r="S548" i="27"/>
  <c r="N542" i="27"/>
  <c r="K543" i="27"/>
  <c r="S544" i="27"/>
  <c r="S542" i="27"/>
  <c r="N536" i="27"/>
  <c r="K537" i="27"/>
  <c r="S538" i="27"/>
  <c r="S536" i="27"/>
  <c r="N530" i="27"/>
  <c r="K531" i="27"/>
  <c r="S532" i="27"/>
  <c r="P557" i="27"/>
  <c r="O557" i="27"/>
  <c r="N557" i="27"/>
  <c r="P554" i="27"/>
  <c r="O554" i="27"/>
  <c r="P550" i="27"/>
  <c r="O550" i="27"/>
  <c r="N550" i="27"/>
  <c r="P548" i="27"/>
  <c r="O548" i="27"/>
  <c r="P544" i="27"/>
  <c r="O544" i="27"/>
  <c r="N544" i="27"/>
  <c r="P542" i="27"/>
  <c r="O542" i="27"/>
  <c r="P538" i="27"/>
  <c r="O538" i="27"/>
  <c r="N538" i="27"/>
  <c r="P536" i="27"/>
  <c r="O536" i="27"/>
  <c r="N532" i="27"/>
  <c r="P532" i="27"/>
  <c r="O532" i="27"/>
  <c r="P530" i="27"/>
  <c r="O530" i="27"/>
  <c r="S530" i="27"/>
  <c r="P529" i="27"/>
  <c r="O529" i="27"/>
  <c r="K93" i="34"/>
  <c r="S94" i="34"/>
  <c r="I94" i="34"/>
  <c r="P94" i="34"/>
  <c r="O94" i="34"/>
  <c r="N94" i="34"/>
  <c r="S92" i="34"/>
  <c r="P92" i="34"/>
  <c r="O92" i="34"/>
  <c r="G92" i="34"/>
  <c r="D92" i="34"/>
  <c r="S91" i="34"/>
  <c r="P91" i="34"/>
  <c r="O91" i="34"/>
  <c r="G91" i="34"/>
  <c r="D91" i="34"/>
  <c r="S90" i="34"/>
  <c r="P90" i="34"/>
  <c r="O90" i="34"/>
  <c r="G90" i="34"/>
  <c r="D90" i="34"/>
  <c r="S89" i="34"/>
  <c r="P89" i="34"/>
  <c r="O89" i="34"/>
  <c r="G89" i="34"/>
  <c r="D89" i="34"/>
  <c r="S88" i="34"/>
  <c r="P88" i="34"/>
  <c r="O88" i="34"/>
  <c r="G88" i="34"/>
  <c r="D88" i="34"/>
  <c r="S87" i="34"/>
  <c r="P87" i="34"/>
  <c r="O87" i="34"/>
  <c r="G87" i="34"/>
  <c r="D87" i="34"/>
  <c r="S86" i="34"/>
  <c r="P86" i="34"/>
  <c r="O86" i="34"/>
  <c r="G86" i="34"/>
  <c r="D86" i="34"/>
  <c r="S85" i="34"/>
  <c r="P85" i="34"/>
  <c r="O85" i="34"/>
  <c r="G85" i="34"/>
  <c r="D85" i="34"/>
  <c r="S84" i="34"/>
  <c r="P84" i="34"/>
  <c r="O84" i="34"/>
  <c r="G84" i="34"/>
  <c r="D84" i="34"/>
  <c r="P82" i="34"/>
  <c r="O82" i="34"/>
  <c r="K77" i="34"/>
  <c r="S78" i="34"/>
  <c r="I78" i="34"/>
  <c r="P78" i="34"/>
  <c r="O78" i="34"/>
  <c r="N78" i="34"/>
  <c r="S76" i="34"/>
  <c r="P76" i="34"/>
  <c r="O76" i="34"/>
  <c r="G76" i="34"/>
  <c r="D76" i="34"/>
  <c r="S75" i="34"/>
  <c r="P75" i="34"/>
  <c r="O75" i="34"/>
  <c r="G75" i="34"/>
  <c r="D75" i="34"/>
  <c r="S74" i="34"/>
  <c r="P74" i="34"/>
  <c r="O74" i="34"/>
  <c r="G74" i="34"/>
  <c r="D74" i="34"/>
  <c r="S73" i="34"/>
  <c r="P73" i="34"/>
  <c r="O73" i="34"/>
  <c r="G73" i="34"/>
  <c r="D73" i="34"/>
  <c r="S72" i="34"/>
  <c r="P72" i="34"/>
  <c r="O72" i="34"/>
  <c r="G72" i="34"/>
  <c r="D72" i="34"/>
  <c r="S71" i="34"/>
  <c r="P71" i="34"/>
  <c r="O71" i="34"/>
  <c r="G71" i="34"/>
  <c r="D71" i="34"/>
  <c r="S70" i="34"/>
  <c r="P70" i="34"/>
  <c r="O70" i="34"/>
  <c r="G70" i="34"/>
  <c r="D70" i="34"/>
  <c r="S69" i="34"/>
  <c r="P69" i="34"/>
  <c r="O69" i="34"/>
  <c r="G69" i="34"/>
  <c r="D69" i="34"/>
  <c r="S68" i="34"/>
  <c r="P68" i="34"/>
  <c r="O68" i="34"/>
  <c r="G68" i="34"/>
  <c r="D68" i="34"/>
  <c r="P66" i="34"/>
  <c r="O66" i="34"/>
  <c r="G52" i="34"/>
  <c r="G53" i="34"/>
  <c r="G54" i="34"/>
  <c r="G55" i="34"/>
  <c r="G56" i="34"/>
  <c r="G57" i="34"/>
  <c r="G58" i="34"/>
  <c r="G59" i="34"/>
  <c r="G51" i="34"/>
  <c r="D52" i="34"/>
  <c r="D53" i="34"/>
  <c r="D54" i="34"/>
  <c r="D55" i="34"/>
  <c r="D56" i="34"/>
  <c r="D57" i="34"/>
  <c r="D58" i="34"/>
  <c r="D59" i="34"/>
  <c r="D51" i="34"/>
  <c r="S61" i="34"/>
  <c r="I61" i="34"/>
  <c r="P61" i="34"/>
  <c r="O61" i="34"/>
  <c r="N61" i="34"/>
  <c r="O98" i="34"/>
  <c r="P98" i="34"/>
  <c r="O99" i="34"/>
  <c r="P99" i="34"/>
  <c r="S99" i="34"/>
  <c r="P59" i="34"/>
  <c r="O59" i="34"/>
  <c r="P58" i="34"/>
  <c r="O58" i="34"/>
  <c r="P57" i="34"/>
  <c r="O57" i="34"/>
  <c r="P56" i="34"/>
  <c r="O56" i="34"/>
  <c r="P55" i="34"/>
  <c r="O55" i="34"/>
  <c r="P54" i="34"/>
  <c r="O54" i="34"/>
  <c r="P53" i="34"/>
  <c r="O53" i="34"/>
  <c r="O52" i="34"/>
  <c r="P52" i="34"/>
  <c r="O51" i="34"/>
  <c r="P51" i="34"/>
  <c r="P49" i="34"/>
  <c r="O49" i="34"/>
  <c r="K43" i="34"/>
  <c r="S44" i="34"/>
  <c r="P44" i="34"/>
  <c r="O44" i="34"/>
  <c r="S42" i="34"/>
  <c r="P42" i="34"/>
  <c r="O42" i="34"/>
  <c r="K37" i="34"/>
  <c r="S38" i="34"/>
  <c r="P38" i="34"/>
  <c r="O38" i="34"/>
  <c r="S36" i="34"/>
  <c r="P36" i="34"/>
  <c r="O36" i="34"/>
  <c r="K31" i="34"/>
  <c r="S32" i="34"/>
  <c r="P32" i="34"/>
  <c r="O32" i="34"/>
  <c r="S30" i="34"/>
  <c r="P30" i="34"/>
  <c r="O30" i="34"/>
  <c r="K25" i="34"/>
  <c r="S26" i="34"/>
  <c r="P26" i="34"/>
  <c r="O26" i="34"/>
  <c r="S24" i="34"/>
  <c r="P24" i="34"/>
  <c r="O24" i="34"/>
  <c r="K19" i="34"/>
  <c r="S20" i="34"/>
  <c r="P20" i="34"/>
  <c r="O20" i="34"/>
  <c r="S18" i="34"/>
  <c r="P18" i="34"/>
  <c r="O18" i="34"/>
  <c r="K13" i="34"/>
  <c r="S14" i="34"/>
  <c r="P14" i="34"/>
  <c r="O14" i="34"/>
  <c r="S12" i="34"/>
  <c r="P12" i="34"/>
  <c r="O12" i="34"/>
  <c r="P8" i="34"/>
  <c r="O8" i="34"/>
  <c r="K7" i="34"/>
  <c r="S8" i="34"/>
  <c r="S6" i="34"/>
  <c r="P6" i="34"/>
  <c r="O6" i="34"/>
  <c r="H36" i="34"/>
  <c r="H30" i="34"/>
  <c r="H24" i="34"/>
  <c r="H18" i="34"/>
  <c r="H12" i="34"/>
  <c r="H6" i="34"/>
  <c r="G44" i="34"/>
  <c r="G42" i="34"/>
  <c r="G38" i="34"/>
  <c r="G36" i="34"/>
  <c r="G32" i="34"/>
  <c r="G30" i="34"/>
  <c r="G26" i="34"/>
  <c r="G24" i="34"/>
  <c r="G20" i="34"/>
  <c r="G18" i="34"/>
  <c r="G14" i="34"/>
  <c r="G12" i="34"/>
  <c r="D44" i="34"/>
  <c r="D42" i="34"/>
  <c r="D38" i="34"/>
  <c r="D36" i="34"/>
  <c r="D32" i="34"/>
  <c r="D30" i="34"/>
  <c r="D26" i="34"/>
  <c r="D24" i="34"/>
  <c r="D20" i="34"/>
  <c r="D18" i="34"/>
  <c r="D14" i="34"/>
  <c r="D12" i="34"/>
  <c r="G8" i="34"/>
  <c r="B176" i="3"/>
  <c r="B175" i="3"/>
  <c r="B174" i="3"/>
  <c r="G6" i="34"/>
  <c r="D8" i="34"/>
  <c r="D6" i="34"/>
  <c r="S140" i="34"/>
  <c r="P140" i="34"/>
  <c r="O140" i="34"/>
  <c r="I136" i="34"/>
  <c r="A136" i="34"/>
  <c r="I135" i="34"/>
  <c r="A135" i="34"/>
  <c r="I134" i="34"/>
  <c r="A134" i="34"/>
  <c r="I133" i="34"/>
  <c r="A133" i="34"/>
  <c r="I132" i="34"/>
  <c r="A132" i="34"/>
  <c r="I131" i="34"/>
  <c r="A131" i="34"/>
  <c r="I130" i="34"/>
  <c r="A130" i="34"/>
  <c r="I129" i="34"/>
  <c r="A129" i="34"/>
  <c r="I128" i="34"/>
  <c r="A128" i="34"/>
  <c r="I127" i="34"/>
  <c r="A127" i="34"/>
  <c r="I126" i="34"/>
  <c r="A126" i="34"/>
  <c r="N126" i="34"/>
  <c r="O126" i="34"/>
  <c r="P126" i="34"/>
  <c r="S126" i="34"/>
  <c r="N127" i="34"/>
  <c r="O127" i="34"/>
  <c r="P127" i="34"/>
  <c r="S127" i="34"/>
  <c r="N128" i="34"/>
  <c r="O128" i="34"/>
  <c r="P128" i="34"/>
  <c r="S128" i="34"/>
  <c r="N129" i="34"/>
  <c r="O129" i="34"/>
  <c r="P129" i="34"/>
  <c r="S129" i="34"/>
  <c r="N130" i="34"/>
  <c r="O130" i="34"/>
  <c r="P130" i="34"/>
  <c r="S130" i="34"/>
  <c r="N131" i="34"/>
  <c r="O131" i="34"/>
  <c r="P131" i="34"/>
  <c r="S131" i="34"/>
  <c r="N132" i="34"/>
  <c r="O132" i="34"/>
  <c r="P132" i="34"/>
  <c r="S132" i="34"/>
  <c r="N133" i="34"/>
  <c r="O133" i="34"/>
  <c r="P133" i="34"/>
  <c r="S133" i="34"/>
  <c r="N134" i="34"/>
  <c r="O134" i="34"/>
  <c r="P134" i="34"/>
  <c r="S134" i="34"/>
  <c r="N135" i="34"/>
  <c r="O135" i="34"/>
  <c r="P135" i="34"/>
  <c r="S135" i="34"/>
  <c r="N136" i="34"/>
  <c r="O136" i="34"/>
  <c r="P136" i="34"/>
  <c r="S136" i="34"/>
  <c r="O137" i="34"/>
  <c r="P137" i="34"/>
  <c r="S137" i="34"/>
  <c r="O138" i="34"/>
  <c r="P138" i="34"/>
  <c r="S138" i="34"/>
  <c r="S125" i="34"/>
  <c r="P125" i="34"/>
  <c r="O125" i="34"/>
  <c r="S124" i="34"/>
  <c r="P124" i="34"/>
  <c r="O124" i="34"/>
  <c r="P123" i="34"/>
  <c r="O123" i="34"/>
  <c r="S123" i="34"/>
  <c r="P122" i="34"/>
  <c r="O122" i="34"/>
  <c r="K116" i="34"/>
  <c r="S117" i="34"/>
  <c r="I117" i="34"/>
  <c r="P117" i="34"/>
  <c r="O117" i="34"/>
  <c r="N117" i="34"/>
  <c r="O100" i="34"/>
  <c r="P100" i="34"/>
  <c r="S100" i="34"/>
  <c r="O101" i="34"/>
  <c r="P101" i="34"/>
  <c r="S101" i="34"/>
  <c r="O102" i="34"/>
  <c r="P102" i="34"/>
  <c r="S102" i="34"/>
  <c r="O103" i="34"/>
  <c r="P103" i="34"/>
  <c r="S103" i="34"/>
  <c r="O104" i="34"/>
  <c r="P104" i="34"/>
  <c r="S104" i="34"/>
  <c r="O105" i="34"/>
  <c r="P105" i="34"/>
  <c r="S105" i="34"/>
  <c r="O106" i="34"/>
  <c r="P106" i="34"/>
  <c r="S106" i="34"/>
  <c r="O107" i="34"/>
  <c r="P107" i="34"/>
  <c r="S107" i="34"/>
  <c r="O108" i="34"/>
  <c r="P108" i="34"/>
  <c r="S108" i="34"/>
  <c r="O109" i="34"/>
  <c r="P109" i="34"/>
  <c r="S109" i="34"/>
  <c r="O110" i="34"/>
  <c r="P110" i="34"/>
  <c r="S110" i="34"/>
  <c r="O111" i="34"/>
  <c r="P111" i="34"/>
  <c r="S111" i="34"/>
  <c r="O112" i="34"/>
  <c r="P112" i="34"/>
  <c r="S112" i="34"/>
  <c r="O113" i="34"/>
  <c r="P113" i="34"/>
  <c r="S113" i="34"/>
  <c r="O114" i="34"/>
  <c r="P114" i="34"/>
  <c r="S114" i="34"/>
  <c r="O115" i="34"/>
  <c r="P115" i="34"/>
  <c r="S115" i="34"/>
  <c r="P4" i="34"/>
  <c r="O4" i="34"/>
  <c r="P200" i="7"/>
  <c r="O200" i="7"/>
  <c r="S200" i="7"/>
  <c r="P199" i="7"/>
  <c r="O199" i="7"/>
  <c r="S199" i="7"/>
  <c r="P198" i="7"/>
  <c r="O198" i="7"/>
  <c r="S198" i="7"/>
  <c r="P197" i="7"/>
  <c r="O197" i="7"/>
  <c r="S197" i="7"/>
  <c r="P196" i="7"/>
  <c r="O196" i="7"/>
  <c r="S196" i="7"/>
  <c r="A146" i="7"/>
  <c r="A145" i="7"/>
  <c r="A144" i="7"/>
  <c r="A143" i="7"/>
  <c r="A142" i="7"/>
  <c r="N188" i="9"/>
  <c r="V20" i="33"/>
  <c r="V16" i="33"/>
  <c r="H69" i="8"/>
  <c r="G69" i="8"/>
  <c r="H71" i="8"/>
  <c r="H70" i="8"/>
  <c r="G71" i="8"/>
  <c r="G70" i="8"/>
  <c r="G6" i="8"/>
  <c r="O6" i="33"/>
  <c r="H6" i="8"/>
  <c r="O5" i="33"/>
  <c r="O19" i="33"/>
  <c r="O15" i="33"/>
  <c r="O8" i="33"/>
  <c r="V63" i="27"/>
  <c r="S35" i="27"/>
  <c r="S39" i="27"/>
  <c r="S49" i="27"/>
  <c r="S54" i="27"/>
  <c r="S65" i="27"/>
  <c r="S69" i="27"/>
  <c r="K75" i="27"/>
  <c r="K84" i="27"/>
  <c r="S86" i="27"/>
  <c r="S85" i="27"/>
  <c r="I73" i="20"/>
  <c r="N73" i="20"/>
  <c r="N65" i="20"/>
  <c r="K67" i="20"/>
  <c r="K75" i="20"/>
  <c r="P86" i="27"/>
  <c r="P85" i="27"/>
  <c r="P82" i="27"/>
  <c r="R86" i="27"/>
  <c r="R85" i="27"/>
  <c r="S82" i="27"/>
  <c r="S38" i="27"/>
  <c r="N352" i="30"/>
  <c r="N342" i="30"/>
  <c r="K343" i="30"/>
  <c r="K354" i="30"/>
  <c r="N303" i="30"/>
  <c r="K305" i="30"/>
  <c r="N287" i="30"/>
  <c r="N278" i="30"/>
  <c r="K279" i="30"/>
  <c r="K289" i="30"/>
  <c r="N271" i="30"/>
  <c r="N262" i="30"/>
  <c r="K263" i="30"/>
  <c r="K273" i="30"/>
  <c r="N255" i="30"/>
  <c r="N246" i="30"/>
  <c r="K247" i="30"/>
  <c r="K257" i="30"/>
  <c r="N239" i="30"/>
  <c r="N230" i="30"/>
  <c r="K231" i="30"/>
  <c r="K241" i="30"/>
  <c r="N223" i="30"/>
  <c r="N214" i="30"/>
  <c r="K215" i="30"/>
  <c r="K225" i="30"/>
  <c r="N207" i="30"/>
  <c r="N198" i="30"/>
  <c r="K199" i="30"/>
  <c r="K209" i="30"/>
  <c r="N191" i="30"/>
  <c r="N182" i="30"/>
  <c r="K183" i="30"/>
  <c r="K193" i="30"/>
  <c r="N175" i="30"/>
  <c r="N166" i="30"/>
  <c r="K167" i="30"/>
  <c r="K177" i="30"/>
  <c r="N159" i="30"/>
  <c r="N150" i="30"/>
  <c r="K151" i="30"/>
  <c r="K161" i="30"/>
  <c r="N143" i="30"/>
  <c r="N134" i="30"/>
  <c r="K135" i="30"/>
  <c r="K145" i="30"/>
  <c r="N127" i="30"/>
  <c r="N118" i="30"/>
  <c r="K119" i="30"/>
  <c r="K129" i="30"/>
  <c r="N111" i="30"/>
  <c r="N102" i="30"/>
  <c r="K103" i="30"/>
  <c r="K113" i="30"/>
  <c r="N95" i="30"/>
  <c r="N86" i="30"/>
  <c r="K87" i="30"/>
  <c r="K97" i="30"/>
  <c r="N79" i="30"/>
  <c r="N70" i="30"/>
  <c r="K71" i="30"/>
  <c r="K81" i="30"/>
  <c r="N63" i="30"/>
  <c r="N54" i="30"/>
  <c r="K55" i="30"/>
  <c r="K65" i="30"/>
  <c r="N47" i="30"/>
  <c r="N38" i="30"/>
  <c r="K39" i="30"/>
  <c r="K49" i="30"/>
  <c r="H8" i="30"/>
  <c r="N355" i="30"/>
  <c r="P355" i="30"/>
  <c r="O355" i="30"/>
  <c r="P352" i="30"/>
  <c r="O352" i="30"/>
  <c r="N349" i="30"/>
  <c r="P349" i="30"/>
  <c r="O349" i="30"/>
  <c r="N346" i="30"/>
  <c r="P346" i="30"/>
  <c r="O346" i="30"/>
  <c r="N345" i="30"/>
  <c r="P345" i="30"/>
  <c r="O345" i="30"/>
  <c r="P342" i="30"/>
  <c r="O342" i="30"/>
  <c r="N306" i="30"/>
  <c r="P306" i="30"/>
  <c r="O306" i="30"/>
  <c r="P303" i="30"/>
  <c r="O303" i="30"/>
  <c r="N300" i="30"/>
  <c r="P300" i="30"/>
  <c r="O300" i="30"/>
  <c r="N297" i="30"/>
  <c r="P297" i="30"/>
  <c r="O297" i="30"/>
  <c r="N296" i="30"/>
  <c r="P296" i="30"/>
  <c r="O296" i="30"/>
  <c r="P294" i="30"/>
  <c r="O294" i="30"/>
  <c r="N290" i="30"/>
  <c r="P290" i="30"/>
  <c r="O290" i="30"/>
  <c r="P287" i="30"/>
  <c r="O287" i="30"/>
  <c r="N284" i="30"/>
  <c r="P284" i="30"/>
  <c r="O284" i="30"/>
  <c r="N281" i="30"/>
  <c r="P281" i="30"/>
  <c r="O281" i="30"/>
  <c r="N280" i="30"/>
  <c r="P280" i="30"/>
  <c r="O280" i="30"/>
  <c r="P278" i="30"/>
  <c r="O278" i="30"/>
  <c r="N274" i="30"/>
  <c r="P274" i="30"/>
  <c r="O274" i="30"/>
  <c r="P271" i="30"/>
  <c r="O271" i="30"/>
  <c r="N268" i="30"/>
  <c r="P268" i="30"/>
  <c r="O268" i="30"/>
  <c r="N265" i="30"/>
  <c r="P265" i="30"/>
  <c r="O265" i="30"/>
  <c r="N264" i="30"/>
  <c r="P264" i="30"/>
  <c r="O264" i="30"/>
  <c r="P262" i="30"/>
  <c r="O262" i="30"/>
  <c r="N258" i="30"/>
  <c r="P258" i="30"/>
  <c r="O258" i="30"/>
  <c r="P255" i="30"/>
  <c r="O255" i="30"/>
  <c r="N252" i="30"/>
  <c r="P252" i="30"/>
  <c r="O252" i="30"/>
  <c r="N249" i="30"/>
  <c r="P249" i="30"/>
  <c r="O249" i="30"/>
  <c r="N248" i="30"/>
  <c r="P248" i="30"/>
  <c r="O248" i="30"/>
  <c r="P246" i="30"/>
  <c r="O246" i="30"/>
  <c r="N242" i="30"/>
  <c r="P242" i="30"/>
  <c r="O242" i="30"/>
  <c r="P239" i="30"/>
  <c r="O239" i="30"/>
  <c r="N236" i="30"/>
  <c r="P236" i="30"/>
  <c r="O236" i="30"/>
  <c r="N233" i="30"/>
  <c r="P233" i="30"/>
  <c r="O233" i="30"/>
  <c r="N232" i="30"/>
  <c r="P232" i="30"/>
  <c r="O232" i="30"/>
  <c r="P230" i="30"/>
  <c r="O230" i="30"/>
  <c r="N226" i="30"/>
  <c r="P226" i="30"/>
  <c r="O226" i="30"/>
  <c r="P223" i="30"/>
  <c r="O223" i="30"/>
  <c r="N220" i="30"/>
  <c r="P220" i="30"/>
  <c r="O220" i="30"/>
  <c r="N217" i="30"/>
  <c r="P217" i="30"/>
  <c r="O217" i="30"/>
  <c r="N216" i="30"/>
  <c r="P216" i="30"/>
  <c r="O216" i="30"/>
  <c r="P214" i="30"/>
  <c r="O214" i="30"/>
  <c r="N210" i="30"/>
  <c r="P210" i="30"/>
  <c r="O210" i="30"/>
  <c r="P207" i="30"/>
  <c r="O207" i="30"/>
  <c r="N204" i="30"/>
  <c r="P204" i="30"/>
  <c r="O204" i="30"/>
  <c r="N201" i="30"/>
  <c r="P201" i="30"/>
  <c r="O201" i="30"/>
  <c r="N200" i="30"/>
  <c r="P200" i="30"/>
  <c r="O200" i="30"/>
  <c r="P198" i="30"/>
  <c r="O198" i="30"/>
  <c r="N194" i="30"/>
  <c r="P194" i="30"/>
  <c r="O194" i="30"/>
  <c r="P191" i="30"/>
  <c r="O191" i="30"/>
  <c r="N188" i="30"/>
  <c r="P188" i="30"/>
  <c r="O188" i="30"/>
  <c r="N185" i="30"/>
  <c r="P185" i="30"/>
  <c r="O185" i="30"/>
  <c r="N184" i="30"/>
  <c r="P184" i="30"/>
  <c r="O184" i="30"/>
  <c r="P182" i="30"/>
  <c r="O182" i="30"/>
  <c r="N178" i="30"/>
  <c r="P178" i="30"/>
  <c r="O178" i="30"/>
  <c r="P175" i="30"/>
  <c r="O175" i="30"/>
  <c r="N172" i="30"/>
  <c r="P172" i="30"/>
  <c r="O172" i="30"/>
  <c r="N169" i="30"/>
  <c r="P169" i="30"/>
  <c r="O169" i="30"/>
  <c r="N168" i="30"/>
  <c r="P168" i="30"/>
  <c r="O168" i="30"/>
  <c r="P166" i="30"/>
  <c r="O166" i="30"/>
  <c r="N162" i="30"/>
  <c r="P162" i="30"/>
  <c r="O162" i="30"/>
  <c r="P159" i="30"/>
  <c r="O159" i="30"/>
  <c r="N156" i="30"/>
  <c r="P156" i="30"/>
  <c r="O156" i="30"/>
  <c r="N153" i="30"/>
  <c r="P153" i="30"/>
  <c r="O153" i="30"/>
  <c r="N152" i="30"/>
  <c r="P152" i="30"/>
  <c r="O152" i="30"/>
  <c r="P150" i="30"/>
  <c r="O150" i="30"/>
  <c r="N146" i="30"/>
  <c r="P146" i="30"/>
  <c r="O146" i="30"/>
  <c r="P143" i="30"/>
  <c r="O143" i="30"/>
  <c r="N140" i="30"/>
  <c r="P140" i="30"/>
  <c r="O140" i="30"/>
  <c r="N137" i="30"/>
  <c r="P137" i="30"/>
  <c r="O137" i="30"/>
  <c r="N136" i="30"/>
  <c r="P136" i="30"/>
  <c r="O136" i="30"/>
  <c r="P134" i="30"/>
  <c r="O134" i="30"/>
  <c r="N130" i="30"/>
  <c r="P130" i="30"/>
  <c r="O130" i="30"/>
  <c r="P127" i="30"/>
  <c r="O127" i="30"/>
  <c r="N124" i="30"/>
  <c r="P124" i="30"/>
  <c r="O124" i="30"/>
  <c r="N121" i="30"/>
  <c r="P121" i="30"/>
  <c r="O121" i="30"/>
  <c r="N120" i="30"/>
  <c r="P120" i="30"/>
  <c r="O120" i="30"/>
  <c r="P118" i="30"/>
  <c r="O118" i="30"/>
  <c r="N114" i="30"/>
  <c r="P114" i="30"/>
  <c r="O114" i="30"/>
  <c r="P111" i="30"/>
  <c r="O111" i="30"/>
  <c r="N108" i="30"/>
  <c r="P108" i="30"/>
  <c r="O108" i="30"/>
  <c r="N105" i="30"/>
  <c r="P105" i="30"/>
  <c r="O105" i="30"/>
  <c r="N104" i="30"/>
  <c r="P104" i="30"/>
  <c r="O104" i="30"/>
  <c r="P102" i="30"/>
  <c r="O102" i="30"/>
  <c r="N98" i="30"/>
  <c r="P98" i="30"/>
  <c r="O98" i="30"/>
  <c r="P95" i="30"/>
  <c r="O95" i="30"/>
  <c r="N92" i="30"/>
  <c r="P92" i="30"/>
  <c r="O92" i="30"/>
  <c r="N89" i="30"/>
  <c r="P89" i="30"/>
  <c r="O89" i="30"/>
  <c r="N88" i="30"/>
  <c r="P88" i="30"/>
  <c r="O88" i="30"/>
  <c r="P86" i="30"/>
  <c r="O86" i="30"/>
  <c r="N82" i="30"/>
  <c r="P82" i="30"/>
  <c r="O82" i="30"/>
  <c r="P79" i="30"/>
  <c r="O79" i="30"/>
  <c r="N76" i="30"/>
  <c r="P76" i="30"/>
  <c r="O76" i="30"/>
  <c r="N73" i="30"/>
  <c r="P73" i="30"/>
  <c r="O73" i="30"/>
  <c r="N72" i="30"/>
  <c r="P72" i="30"/>
  <c r="O72" i="30"/>
  <c r="P70" i="30"/>
  <c r="O70" i="30"/>
  <c r="N66" i="30"/>
  <c r="P66" i="30"/>
  <c r="O66" i="30"/>
  <c r="P63" i="30"/>
  <c r="O63" i="30"/>
  <c r="N60" i="30"/>
  <c r="P60" i="30"/>
  <c r="O60" i="30"/>
  <c r="N57" i="30"/>
  <c r="P57" i="30"/>
  <c r="O57" i="30"/>
  <c r="N56" i="30"/>
  <c r="P56" i="30"/>
  <c r="O56" i="30"/>
  <c r="P54" i="30"/>
  <c r="O54" i="30"/>
  <c r="N50" i="30"/>
  <c r="P50" i="30"/>
  <c r="O50" i="30"/>
  <c r="P47" i="30"/>
  <c r="O47" i="30"/>
  <c r="P44" i="30"/>
  <c r="O44" i="30"/>
  <c r="N41" i="30"/>
  <c r="P41" i="30"/>
  <c r="O41" i="30"/>
  <c r="N40" i="30"/>
  <c r="P40" i="30"/>
  <c r="O40" i="30"/>
  <c r="P38" i="30"/>
  <c r="O38" i="30"/>
  <c r="P72" i="27"/>
  <c r="P69" i="27"/>
  <c r="P65" i="27"/>
  <c r="P58" i="27"/>
  <c r="P54" i="27"/>
  <c r="P49" i="27"/>
  <c r="P42" i="27"/>
  <c r="P39" i="27"/>
  <c r="P38" i="27"/>
  <c r="P35" i="27"/>
  <c r="O5" i="27"/>
  <c r="P5" i="27"/>
  <c r="S355" i="30"/>
  <c r="S352" i="30"/>
  <c r="K348" i="30"/>
  <c r="S349" i="30"/>
  <c r="S344" i="30"/>
  <c r="S345" i="30"/>
  <c r="S346" i="30"/>
  <c r="S306" i="30"/>
  <c r="S303" i="30"/>
  <c r="K299" i="30"/>
  <c r="S300" i="30"/>
  <c r="S297" i="30"/>
  <c r="S296" i="30"/>
  <c r="S290" i="30"/>
  <c r="S287" i="30"/>
  <c r="K283" i="30"/>
  <c r="S284" i="30"/>
  <c r="S281" i="30"/>
  <c r="S280" i="30"/>
  <c r="S274" i="30"/>
  <c r="S271" i="30"/>
  <c r="K267" i="30"/>
  <c r="S268" i="30"/>
  <c r="S265" i="30"/>
  <c r="S264" i="30"/>
  <c r="S258" i="30"/>
  <c r="S255" i="30"/>
  <c r="K251" i="30"/>
  <c r="S252" i="30"/>
  <c r="S249" i="30"/>
  <c r="S248" i="30"/>
  <c r="S242" i="30"/>
  <c r="S239" i="30"/>
  <c r="K235" i="30"/>
  <c r="S236" i="30"/>
  <c r="S233" i="30"/>
  <c r="S232" i="30"/>
  <c r="S226" i="30"/>
  <c r="S223" i="30"/>
  <c r="K219" i="30"/>
  <c r="S220" i="30"/>
  <c r="S217" i="30"/>
  <c r="S216" i="30"/>
  <c r="S210" i="30"/>
  <c r="S207" i="30"/>
  <c r="K203" i="30"/>
  <c r="S204" i="30"/>
  <c r="S201" i="30"/>
  <c r="S200" i="30"/>
  <c r="S194" i="30"/>
  <c r="S191" i="30"/>
  <c r="K187" i="30"/>
  <c r="S188" i="30"/>
  <c r="S185" i="30"/>
  <c r="S184" i="30"/>
  <c r="S178" i="30"/>
  <c r="S175" i="30"/>
  <c r="K171" i="30"/>
  <c r="S172" i="30"/>
  <c r="S169" i="30"/>
  <c r="S168" i="30"/>
  <c r="S162" i="30"/>
  <c r="S159" i="30"/>
  <c r="K155" i="30"/>
  <c r="S156" i="30"/>
  <c r="S153" i="30"/>
  <c r="S152" i="30"/>
  <c r="S146" i="30"/>
  <c r="S143" i="30"/>
  <c r="K139" i="30"/>
  <c r="S140" i="30"/>
  <c r="S137" i="30"/>
  <c r="S136" i="30"/>
  <c r="S130" i="30"/>
  <c r="S127" i="30"/>
  <c r="K123" i="30"/>
  <c r="S124" i="30"/>
  <c r="S121" i="30"/>
  <c r="S120" i="30"/>
  <c r="S114" i="30"/>
  <c r="S111" i="30"/>
  <c r="K107" i="30"/>
  <c r="S108" i="30"/>
  <c r="S105" i="30"/>
  <c r="S104" i="30"/>
  <c r="S98" i="30"/>
  <c r="S95" i="30"/>
  <c r="K91" i="30"/>
  <c r="S92" i="30"/>
  <c r="S89" i="30"/>
  <c r="S88" i="30"/>
  <c r="S82" i="30"/>
  <c r="S79" i="30"/>
  <c r="K75" i="30"/>
  <c r="S76" i="30"/>
  <c r="S73" i="30"/>
  <c r="S72" i="30"/>
  <c r="S66" i="30"/>
  <c r="S63" i="30"/>
  <c r="K59" i="30"/>
  <c r="S60" i="30"/>
  <c r="S57" i="30"/>
  <c r="S56" i="30"/>
  <c r="S50" i="30"/>
  <c r="K43" i="30"/>
  <c r="S44" i="30"/>
  <c r="K351" i="30"/>
  <c r="O6" i="25"/>
  <c r="O7" i="25"/>
  <c r="K64" i="20"/>
  <c r="S65" i="20"/>
  <c r="K28" i="20"/>
  <c r="K42" i="20"/>
  <c r="N11" i="31"/>
  <c r="B21" i="31"/>
  <c r="P21" i="31"/>
  <c r="O11" i="31"/>
  <c r="S8" i="20"/>
  <c r="O6" i="31"/>
  <c r="O8" i="31"/>
  <c r="R355" i="30"/>
  <c r="Q355" i="30"/>
  <c r="R349" i="30"/>
  <c r="Q349" i="30"/>
  <c r="R306" i="30"/>
  <c r="Q306" i="30"/>
  <c r="R300" i="30"/>
  <c r="Q300" i="30"/>
  <c r="R290" i="30"/>
  <c r="Q290" i="30"/>
  <c r="R284" i="30"/>
  <c r="Q284" i="30"/>
  <c r="R274" i="30"/>
  <c r="Q274" i="30"/>
  <c r="R268" i="30"/>
  <c r="Q268" i="30"/>
  <c r="R258" i="30"/>
  <c r="Q258" i="30"/>
  <c r="R252" i="30"/>
  <c r="Q252" i="30"/>
  <c r="R242" i="30"/>
  <c r="Q242" i="30"/>
  <c r="R236" i="30"/>
  <c r="Q236" i="30"/>
  <c r="R226" i="30"/>
  <c r="Q226" i="30"/>
  <c r="R220" i="30"/>
  <c r="Q220" i="30"/>
  <c r="R210" i="30"/>
  <c r="Q210" i="30"/>
  <c r="R204" i="30"/>
  <c r="Q204" i="30"/>
  <c r="R194" i="30"/>
  <c r="Q194" i="30"/>
  <c r="R188" i="30"/>
  <c r="Q188" i="30"/>
  <c r="R178" i="30"/>
  <c r="Q178" i="30"/>
  <c r="R172" i="30"/>
  <c r="Q172" i="30"/>
  <c r="R162" i="30"/>
  <c r="Q162" i="30"/>
  <c r="R156" i="30"/>
  <c r="Q156" i="30"/>
  <c r="R146" i="30"/>
  <c r="Q146" i="30"/>
  <c r="R140" i="30"/>
  <c r="Q140" i="30"/>
  <c r="R130" i="30"/>
  <c r="Q130" i="30"/>
  <c r="R124" i="30"/>
  <c r="Q124" i="30"/>
  <c r="R114" i="30"/>
  <c r="Q114" i="30"/>
  <c r="R108" i="30"/>
  <c r="Q108" i="30"/>
  <c r="R98" i="30"/>
  <c r="Q98" i="30"/>
  <c r="R92" i="30"/>
  <c r="Q92" i="30"/>
  <c r="R82" i="30"/>
  <c r="Q82" i="30"/>
  <c r="R76" i="30"/>
  <c r="Q76" i="30"/>
  <c r="R66" i="30"/>
  <c r="Q66" i="30"/>
  <c r="R60" i="30"/>
  <c r="Q60" i="30"/>
  <c r="R50" i="30"/>
  <c r="R44" i="30"/>
  <c r="Q50" i="30"/>
  <c r="Q44" i="30"/>
  <c r="G125" i="8"/>
  <c r="H126" i="8"/>
  <c r="G126" i="8"/>
  <c r="H125" i="8"/>
  <c r="O21" i="31"/>
  <c r="O14" i="31"/>
  <c r="O12" i="31"/>
  <c r="A11" i="31"/>
  <c r="G8" i="31"/>
  <c r="D8" i="31"/>
  <c r="O5" i="31"/>
  <c r="A7" i="30"/>
  <c r="N344" i="30"/>
  <c r="O344" i="30"/>
  <c r="P5" i="30"/>
  <c r="O5" i="30"/>
  <c r="A6" i="30"/>
  <c r="G120" i="8"/>
  <c r="P4" i="19"/>
  <c r="H10" i="27"/>
  <c r="H13" i="27"/>
  <c r="P6" i="27"/>
  <c r="O6" i="27"/>
  <c r="P5" i="20"/>
  <c r="O5" i="20"/>
  <c r="P14" i="20"/>
  <c r="O14" i="20"/>
  <c r="P22" i="20"/>
  <c r="O22" i="20"/>
  <c r="P34" i="20"/>
  <c r="O34" i="20"/>
  <c r="A19" i="27"/>
  <c r="M47" i="27"/>
  <c r="A15" i="27"/>
  <c r="A12" i="27"/>
  <c r="A17" i="27"/>
  <c r="A14" i="27"/>
  <c r="A16" i="27"/>
  <c r="A13" i="27"/>
  <c r="A11" i="27"/>
  <c r="A10" i="27"/>
  <c r="M78" i="27"/>
  <c r="M63" i="27"/>
  <c r="A9" i="27"/>
  <c r="A8" i="27"/>
  <c r="G6" i="27"/>
  <c r="D6" i="27"/>
  <c r="A25" i="27"/>
  <c r="A24" i="27"/>
  <c r="P47" i="20"/>
  <c r="O47" i="20"/>
  <c r="P54" i="20"/>
  <c r="O54" i="20"/>
  <c r="P59" i="20"/>
  <c r="O59" i="20"/>
  <c r="P69" i="20"/>
  <c r="O69" i="20"/>
  <c r="P6" i="25"/>
  <c r="P7" i="25"/>
  <c r="G6" i="19"/>
  <c r="D6" i="19"/>
  <c r="V19" i="19"/>
  <c r="O4" i="19"/>
  <c r="K16" i="19"/>
  <c r="S19" i="19"/>
  <c r="B18" i="19"/>
  <c r="P18" i="19"/>
  <c r="O18" i="19"/>
  <c r="H121" i="8"/>
  <c r="G121" i="8"/>
  <c r="H120" i="8"/>
  <c r="K7" i="19"/>
  <c r="S8" i="19"/>
  <c r="S11" i="19"/>
  <c r="S9" i="19"/>
  <c r="P54" i="23"/>
  <c r="S31" i="23"/>
  <c r="S30" i="23"/>
  <c r="S41" i="23"/>
  <c r="O54" i="23"/>
  <c r="M59" i="23"/>
  <c r="O50" i="23"/>
  <c r="P50" i="23"/>
  <c r="O41" i="23"/>
  <c r="I11" i="23"/>
  <c r="I13" i="23"/>
  <c r="I12" i="23"/>
  <c r="O31" i="23"/>
  <c r="P31" i="23"/>
  <c r="N30" i="23"/>
  <c r="O30" i="23"/>
  <c r="P30" i="23"/>
  <c r="O26" i="23"/>
  <c r="P26" i="23"/>
  <c r="A18" i="23"/>
  <c r="A17" i="23"/>
  <c r="A16" i="23"/>
  <c r="A15" i="23"/>
  <c r="P4" i="23"/>
  <c r="O4" i="23"/>
  <c r="H116" i="8"/>
  <c r="G116" i="8"/>
  <c r="H115" i="8"/>
  <c r="G115" i="8"/>
  <c r="H114" i="8"/>
  <c r="G114" i="8"/>
  <c r="H113" i="8"/>
  <c r="G113" i="8"/>
  <c r="H112" i="8"/>
  <c r="G112" i="8"/>
  <c r="H111" i="8"/>
  <c r="G111" i="8"/>
  <c r="H110" i="8"/>
  <c r="G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G73" i="8"/>
  <c r="P7" i="15"/>
  <c r="O7" i="15"/>
  <c r="P6" i="15"/>
  <c r="O6" i="15"/>
  <c r="P5" i="15"/>
  <c r="O5" i="15"/>
  <c r="G84" i="8"/>
  <c r="G79" i="8"/>
  <c r="H84" i="8"/>
  <c r="H79" i="8"/>
  <c r="P8" i="15"/>
  <c r="O8" i="15"/>
  <c r="M12" i="15"/>
  <c r="A73" i="8"/>
  <c r="P9" i="15"/>
  <c r="O9" i="15"/>
  <c r="A9" i="15"/>
  <c r="G240" i="9"/>
  <c r="G238" i="9"/>
  <c r="D240" i="9"/>
  <c r="D238" i="9"/>
  <c r="B29" i="3"/>
  <c r="B28" i="3"/>
  <c r="B26" i="3"/>
  <c r="B25" i="3"/>
  <c r="P11" i="19"/>
  <c r="P9" i="19"/>
  <c r="P8" i="19"/>
  <c r="P6" i="19"/>
  <c r="O11" i="19"/>
  <c r="O9" i="19"/>
  <c r="O8" i="19"/>
  <c r="O6" i="19"/>
  <c r="D6" i="20"/>
  <c r="H85" i="8"/>
  <c r="G85" i="8"/>
  <c r="H80" i="8"/>
  <c r="G80" i="8"/>
  <c r="G259" i="7"/>
  <c r="G252" i="7"/>
  <c r="G245" i="7"/>
  <c r="G238" i="7"/>
  <c r="G231" i="7"/>
  <c r="G208" i="7"/>
  <c r="D259" i="7"/>
  <c r="D252" i="7"/>
  <c r="D245" i="7"/>
  <c r="D238" i="7"/>
  <c r="D231" i="7"/>
  <c r="D208" i="7"/>
  <c r="B180" i="3"/>
  <c r="B179" i="3"/>
  <c r="B178" i="3"/>
  <c r="S260" i="7"/>
  <c r="S253" i="7"/>
  <c r="S252" i="7"/>
  <c r="S246" i="7"/>
  <c r="S245" i="7"/>
  <c r="S239" i="7"/>
  <c r="S238" i="7"/>
  <c r="S232" i="7"/>
  <c r="S231" i="7"/>
  <c r="S6" i="7"/>
  <c r="P260" i="7"/>
  <c r="O260" i="7"/>
  <c r="O259" i="7"/>
  <c r="I253" i="7"/>
  <c r="O253" i="7"/>
  <c r="I252" i="7"/>
  <c r="O252" i="7"/>
  <c r="I246" i="7"/>
  <c r="P246" i="7"/>
  <c r="O246" i="7"/>
  <c r="I245" i="7"/>
  <c r="O245" i="7"/>
  <c r="I239" i="7"/>
  <c r="P239" i="7"/>
  <c r="I238" i="7"/>
  <c r="O238" i="7"/>
  <c r="P232" i="7"/>
  <c r="I231" i="7"/>
  <c r="O231" i="7"/>
  <c r="I262" i="7"/>
  <c r="N262" i="7"/>
  <c r="O262" i="7"/>
  <c r="A262" i="7"/>
  <c r="N246" i="7"/>
  <c r="A246" i="7"/>
  <c r="S248" i="7"/>
  <c r="I248" i="7"/>
  <c r="N248" i="7"/>
  <c r="N239" i="7"/>
  <c r="A239" i="7"/>
  <c r="S241" i="7"/>
  <c r="I241" i="7"/>
  <c r="O241" i="7"/>
  <c r="P241" i="7"/>
  <c r="N232" i="7"/>
  <c r="A232" i="7"/>
  <c r="S234" i="7"/>
  <c r="S208" i="7"/>
  <c r="H67" i="8"/>
  <c r="G67" i="8"/>
  <c r="P214" i="7"/>
  <c r="O214" i="7"/>
  <c r="G73" i="20"/>
  <c r="D73" i="20"/>
  <c r="G65" i="20"/>
  <c r="D65" i="20"/>
  <c r="G43" i="20"/>
  <c r="D43" i="20"/>
  <c r="G29" i="20"/>
  <c r="D29" i="20"/>
  <c r="G18" i="20"/>
  <c r="D18" i="20"/>
  <c r="G8" i="20"/>
  <c r="D8" i="20"/>
  <c r="G6" i="20"/>
  <c r="A6" i="20"/>
  <c r="O6" i="20"/>
  <c r="P6" i="20"/>
  <c r="A8" i="20"/>
  <c r="O8" i="20"/>
  <c r="P8" i="20"/>
  <c r="A11" i="20"/>
  <c r="O11" i="20"/>
  <c r="P11" i="20"/>
  <c r="O13" i="20"/>
  <c r="P13" i="20"/>
  <c r="I16" i="20"/>
  <c r="A18" i="20"/>
  <c r="O18" i="20"/>
  <c r="P18" i="20"/>
  <c r="P259" i="7"/>
  <c r="P252" i="7"/>
  <c r="P245" i="7"/>
  <c r="P231" i="7"/>
  <c r="O154" i="7"/>
  <c r="S195" i="7"/>
  <c r="S191" i="7"/>
  <c r="S190" i="7"/>
  <c r="S189" i="7"/>
  <c r="S188" i="7"/>
  <c r="S187" i="7"/>
  <c r="S186" i="7"/>
  <c r="S185" i="7"/>
  <c r="S184" i="7"/>
  <c r="S183" i="7"/>
  <c r="S182" i="7"/>
  <c r="S181" i="7"/>
  <c r="S180" i="7"/>
  <c r="S176" i="7"/>
  <c r="S175" i="7"/>
  <c r="S174" i="7"/>
  <c r="S173" i="7"/>
  <c r="S172" i="7"/>
  <c r="S171" i="7"/>
  <c r="S170" i="7"/>
  <c r="S169" i="7"/>
  <c r="S168" i="7"/>
  <c r="S167" i="7"/>
  <c r="S163" i="7"/>
  <c r="S162" i="7"/>
  <c r="S161" i="7"/>
  <c r="S160" i="7"/>
  <c r="S159" i="7"/>
  <c r="S157" i="7"/>
  <c r="S156" i="7"/>
  <c r="S155" i="7"/>
  <c r="V163" i="2"/>
  <c r="H18" i="8"/>
  <c r="G18" i="8"/>
  <c r="A64" i="8"/>
  <c r="H64" i="8"/>
  <c r="G64" i="8"/>
  <c r="P154" i="7"/>
  <c r="S154" i="7"/>
  <c r="I27" i="2"/>
  <c r="I29" i="2"/>
  <c r="I31" i="2"/>
  <c r="I33" i="2"/>
  <c r="N33" i="2"/>
  <c r="N31" i="2"/>
  <c r="N32" i="2"/>
  <c r="N29" i="2"/>
  <c r="N30" i="2"/>
  <c r="V78" i="2"/>
  <c r="N27" i="2"/>
  <c r="N28" i="2"/>
  <c r="V74" i="2"/>
  <c r="H19" i="8"/>
  <c r="G19" i="8"/>
  <c r="K21" i="11"/>
  <c r="S23" i="11"/>
  <c r="S18" i="11"/>
  <c r="P15" i="2"/>
  <c r="O15" i="2"/>
  <c r="V15" i="2"/>
  <c r="K13" i="2"/>
  <c r="S15" i="2"/>
  <c r="O13" i="11"/>
  <c r="G61" i="8"/>
  <c r="G59" i="8"/>
  <c r="G57" i="8"/>
  <c r="G55" i="8"/>
  <c r="G53" i="8"/>
  <c r="G51" i="8"/>
  <c r="G49" i="8"/>
  <c r="G47" i="8"/>
  <c r="G45" i="8"/>
  <c r="G43" i="8"/>
  <c r="G41" i="8"/>
  <c r="G39" i="8"/>
  <c r="G37" i="8"/>
  <c r="G35" i="8"/>
  <c r="G33" i="8"/>
  <c r="G31" i="8"/>
  <c r="G29" i="8"/>
  <c r="G27" i="8"/>
  <c r="G25" i="8"/>
  <c r="G23" i="8"/>
  <c r="H21" i="8"/>
  <c r="O81" i="2"/>
  <c r="O73" i="2"/>
  <c r="N82" i="2"/>
  <c r="P77" i="2"/>
  <c r="K76" i="2"/>
  <c r="N74" i="2"/>
  <c r="K72" i="2"/>
  <c r="N70" i="2"/>
  <c r="K68" i="2"/>
  <c r="N26" i="2"/>
  <c r="M27" i="2"/>
  <c r="I28" i="2"/>
  <c r="I30" i="2"/>
  <c r="M29" i="2"/>
  <c r="M31" i="2"/>
  <c r="N25" i="2"/>
  <c r="V70" i="2"/>
  <c r="M25" i="2"/>
  <c r="M26" i="2"/>
  <c r="P69" i="2"/>
  <c r="O69" i="2"/>
  <c r="H16" i="8"/>
  <c r="G21" i="8"/>
  <c r="K8" i="2"/>
  <c r="V22" i="2"/>
  <c r="O10" i="2"/>
  <c r="I3" i="8"/>
  <c r="P157" i="2"/>
  <c r="O157" i="2"/>
  <c r="N99" i="7"/>
  <c r="A99" i="7"/>
  <c r="S99" i="7"/>
  <c r="G99" i="7"/>
  <c r="D99" i="7"/>
  <c r="N93" i="7"/>
  <c r="A93" i="7"/>
  <c r="K94" i="7"/>
  <c r="S95" i="7"/>
  <c r="S93" i="7"/>
  <c r="G93" i="7"/>
  <c r="D93" i="7"/>
  <c r="N87" i="7"/>
  <c r="A87" i="7"/>
  <c r="K88" i="7"/>
  <c r="S89" i="7"/>
  <c r="S87" i="7"/>
  <c r="D87" i="7"/>
  <c r="N81" i="7"/>
  <c r="A81" i="7"/>
  <c r="K82" i="7"/>
  <c r="S83" i="7"/>
  <c r="S81" i="7"/>
  <c r="G81" i="7"/>
  <c r="D81" i="7"/>
  <c r="N75" i="7"/>
  <c r="A75" i="7"/>
  <c r="K76" i="7"/>
  <c r="S77" i="7"/>
  <c r="S75" i="7"/>
  <c r="G75" i="7"/>
  <c r="D75" i="7"/>
  <c r="N69" i="7"/>
  <c r="A69" i="7"/>
  <c r="S69" i="7"/>
  <c r="G69" i="7"/>
  <c r="D69" i="7"/>
  <c r="N63" i="7"/>
  <c r="A63" i="7"/>
  <c r="K64" i="7"/>
  <c r="S65" i="7"/>
  <c r="S63" i="7"/>
  <c r="G63" i="7"/>
  <c r="D63" i="7"/>
  <c r="N57" i="7"/>
  <c r="A57" i="7"/>
  <c r="S57" i="7"/>
  <c r="G57" i="7"/>
  <c r="D57" i="7"/>
  <c r="N51" i="7"/>
  <c r="A51" i="7"/>
  <c r="S51" i="7"/>
  <c r="G51" i="7"/>
  <c r="D87" i="3"/>
  <c r="D88" i="3"/>
  <c r="D51" i="7"/>
  <c r="A45" i="7"/>
  <c r="S45" i="7"/>
  <c r="G45" i="7"/>
  <c r="D45" i="7"/>
  <c r="N33" i="7"/>
  <c r="K39" i="7"/>
  <c r="S41" i="7"/>
  <c r="A33" i="7"/>
  <c r="K34" i="7"/>
  <c r="S35" i="7"/>
  <c r="S33" i="7"/>
  <c r="G33" i="7"/>
  <c r="D33" i="7"/>
  <c r="S31" i="7"/>
  <c r="S30" i="7"/>
  <c r="N24" i="7"/>
  <c r="A24" i="7"/>
  <c r="S24" i="7"/>
  <c r="G24" i="7"/>
  <c r="D24" i="7"/>
  <c r="N18" i="7"/>
  <c r="A18" i="7"/>
  <c r="S18" i="7"/>
  <c r="G18" i="7"/>
  <c r="D18" i="7"/>
  <c r="N12" i="7"/>
  <c r="A12" i="7"/>
  <c r="K13" i="7"/>
  <c r="S14" i="7"/>
  <c r="S12" i="7"/>
  <c r="G12" i="7"/>
  <c r="G6" i="7"/>
  <c r="D6" i="7"/>
  <c r="V23" i="11"/>
  <c r="S8" i="11"/>
  <c r="S6" i="11"/>
  <c r="G172" i="9"/>
  <c r="D172" i="9"/>
  <c r="G151" i="9"/>
  <c r="D151" i="9"/>
  <c r="G132" i="9"/>
  <c r="G112" i="9"/>
  <c r="D112" i="9"/>
  <c r="N6" i="7"/>
  <c r="A6" i="7"/>
  <c r="H18" i="2"/>
  <c r="S153" i="7"/>
  <c r="A110" i="7"/>
  <c r="A109" i="7"/>
  <c r="A108" i="7"/>
  <c r="O105" i="7"/>
  <c r="O104" i="7"/>
  <c r="I101" i="7"/>
  <c r="P101" i="7"/>
  <c r="O101" i="7"/>
  <c r="N101" i="7"/>
  <c r="A101" i="7"/>
  <c r="O99" i="7"/>
  <c r="I95" i="7"/>
  <c r="P95" i="7"/>
  <c r="O95" i="7"/>
  <c r="N95" i="7"/>
  <c r="A95" i="7"/>
  <c r="P93" i="7"/>
  <c r="O93" i="7"/>
  <c r="I89" i="7"/>
  <c r="P89" i="7"/>
  <c r="P87" i="7"/>
  <c r="O87" i="7"/>
  <c r="I83" i="7"/>
  <c r="O83" i="7"/>
  <c r="P83" i="7"/>
  <c r="A83" i="7"/>
  <c r="P81" i="7"/>
  <c r="O81" i="7"/>
  <c r="I77" i="7"/>
  <c r="P77" i="7"/>
  <c r="O77" i="7"/>
  <c r="N77" i="7"/>
  <c r="A77" i="7"/>
  <c r="P75" i="7"/>
  <c r="O75" i="7"/>
  <c r="I71" i="7"/>
  <c r="P71" i="7"/>
  <c r="O71" i="7"/>
  <c r="N71" i="7"/>
  <c r="A71" i="7"/>
  <c r="O69" i="7"/>
  <c r="I65" i="7"/>
  <c r="P65" i="7"/>
  <c r="P63" i="7"/>
  <c r="O63" i="7"/>
  <c r="I59" i="7"/>
  <c r="O59" i="7"/>
  <c r="P59" i="7"/>
  <c r="A59" i="7"/>
  <c r="O57" i="7"/>
  <c r="I53" i="7"/>
  <c r="P53" i="7"/>
  <c r="O53" i="7"/>
  <c r="N53" i="7"/>
  <c r="A53" i="7"/>
  <c r="O51" i="7"/>
  <c r="I47" i="7"/>
  <c r="P47" i="7"/>
  <c r="O47" i="7"/>
  <c r="N47" i="7"/>
  <c r="A47" i="7"/>
  <c r="O45" i="7"/>
  <c r="O43" i="7"/>
  <c r="N41" i="7"/>
  <c r="A41" i="7"/>
  <c r="P41" i="7"/>
  <c r="O41" i="7"/>
  <c r="O39" i="7"/>
  <c r="I35" i="7"/>
  <c r="O35" i="7"/>
  <c r="P35" i="7"/>
  <c r="A35" i="7"/>
  <c r="P33" i="7"/>
  <c r="O33" i="7"/>
  <c r="N31" i="7"/>
  <c r="A31" i="7"/>
  <c r="V31" i="7"/>
  <c r="P31" i="7"/>
  <c r="O31" i="7"/>
  <c r="N30" i="7"/>
  <c r="A30" i="7"/>
  <c r="P30" i="7"/>
  <c r="O30" i="7"/>
  <c r="I26" i="7"/>
  <c r="P26" i="7"/>
  <c r="O26" i="7"/>
  <c r="N26" i="7"/>
  <c r="A26" i="7"/>
  <c r="O24" i="7"/>
  <c r="I20" i="7"/>
  <c r="P20" i="7"/>
  <c r="O18" i="7"/>
  <c r="I14" i="7"/>
  <c r="O14" i="7"/>
  <c r="P14" i="7"/>
  <c r="A14" i="7"/>
  <c r="P12" i="7"/>
  <c r="O12" i="7"/>
  <c r="I8" i="7"/>
  <c r="P8" i="7"/>
  <c r="O8" i="7"/>
  <c r="N8" i="7"/>
  <c r="A8" i="7"/>
  <c r="O6" i="7"/>
  <c r="P170" i="2"/>
  <c r="O170" i="2"/>
  <c r="A170" i="2"/>
  <c r="P18" i="2"/>
  <c r="O18" i="2"/>
  <c r="S6" i="2"/>
  <c r="P6" i="2"/>
  <c r="O6" i="2"/>
  <c r="A6" i="2"/>
  <c r="O19" i="11"/>
  <c r="O9" i="11"/>
  <c r="P6" i="11"/>
  <c r="O6" i="11"/>
  <c r="H5" i="11"/>
  <c r="P193" i="9"/>
  <c r="O193" i="9"/>
  <c r="P185" i="9"/>
  <c r="O185" i="9"/>
  <c r="B203" i="9"/>
  <c r="E203" i="9"/>
  <c r="I180" i="9"/>
  <c r="O180" i="9"/>
  <c r="B180" i="9"/>
  <c r="I179" i="9"/>
  <c r="A179" i="9"/>
  <c r="B179" i="9"/>
  <c r="I178" i="9"/>
  <c r="T24" i="9"/>
  <c r="B178" i="9"/>
  <c r="P178" i="9"/>
  <c r="A178" i="9"/>
  <c r="I177" i="9"/>
  <c r="O177" i="9"/>
  <c r="B177" i="9"/>
  <c r="P177" i="9"/>
  <c r="A177" i="9"/>
  <c r="I176" i="9"/>
  <c r="O176" i="9"/>
  <c r="B176" i="9"/>
  <c r="I175" i="9"/>
  <c r="A175" i="9"/>
  <c r="B175" i="9"/>
  <c r="I174" i="9"/>
  <c r="B72" i="9"/>
  <c r="P72" i="9"/>
  <c r="B174" i="9"/>
  <c r="P174" i="9"/>
  <c r="A174" i="9"/>
  <c r="I173" i="9"/>
  <c r="O173" i="9"/>
  <c r="B173" i="9"/>
  <c r="P173" i="9"/>
  <c r="A173" i="9"/>
  <c r="P172" i="9"/>
  <c r="O172" i="9"/>
  <c r="A172" i="9"/>
  <c r="P165" i="9"/>
  <c r="O165" i="9"/>
  <c r="A165" i="9"/>
  <c r="P164" i="9"/>
  <c r="O164" i="9"/>
  <c r="N164" i="9"/>
  <c r="A164" i="9"/>
  <c r="K156" i="9"/>
  <c r="H151" i="9"/>
  <c r="K162" i="9"/>
  <c r="P160" i="9"/>
  <c r="O160" i="9"/>
  <c r="P159" i="9"/>
  <c r="O159" i="9"/>
  <c r="H132" i="9"/>
  <c r="P151" i="9"/>
  <c r="O151" i="9"/>
  <c r="A151" i="9"/>
  <c r="P150" i="9"/>
  <c r="O150" i="9"/>
  <c r="P147" i="9"/>
  <c r="O147" i="9"/>
  <c r="P144" i="9"/>
  <c r="O144" i="9"/>
  <c r="P137" i="9"/>
  <c r="O137" i="9"/>
  <c r="P136" i="9"/>
  <c r="O136" i="9"/>
  <c r="S132" i="9"/>
  <c r="P132" i="9"/>
  <c r="O132" i="9"/>
  <c r="A132" i="9"/>
  <c r="S130" i="9"/>
  <c r="P130" i="9"/>
  <c r="O130" i="9"/>
  <c r="A130" i="9"/>
  <c r="P221" i="9"/>
  <c r="O221" i="9"/>
  <c r="P219" i="9"/>
  <c r="O219" i="9"/>
  <c r="P218" i="9"/>
  <c r="O218" i="9"/>
  <c r="P124" i="9"/>
  <c r="O124" i="9"/>
  <c r="P122" i="9"/>
  <c r="O122" i="9"/>
  <c r="O121" i="9"/>
  <c r="P117" i="9"/>
  <c r="O117" i="9"/>
  <c r="P116" i="9"/>
  <c r="O116" i="9"/>
  <c r="S110" i="9"/>
  <c r="S112" i="9"/>
  <c r="P112" i="9"/>
  <c r="O112" i="9"/>
  <c r="A112" i="9"/>
  <c r="P110" i="9"/>
  <c r="O110" i="9"/>
  <c r="A110" i="9"/>
  <c r="P214" i="9"/>
  <c r="O214" i="9"/>
  <c r="P212" i="9"/>
  <c r="O212" i="9"/>
  <c r="O211" i="9"/>
  <c r="P104" i="9"/>
  <c r="O104" i="9"/>
  <c r="P102" i="9"/>
  <c r="O102" i="9"/>
  <c r="O101" i="9"/>
  <c r="P97" i="9"/>
  <c r="O97" i="9"/>
  <c r="P96" i="9"/>
  <c r="O96" i="9"/>
  <c r="P92" i="9"/>
  <c r="O92" i="9"/>
  <c r="A92" i="9"/>
  <c r="P90" i="9"/>
  <c r="O90" i="9"/>
  <c r="A90" i="9"/>
  <c r="B84" i="9"/>
  <c r="P84" i="9"/>
  <c r="O84" i="9"/>
  <c r="A84" i="9"/>
  <c r="T31" i="9"/>
  <c r="N30" i="9"/>
  <c r="B83" i="9"/>
  <c r="P83" i="9"/>
  <c r="N29" i="9"/>
  <c r="T29" i="9"/>
  <c r="B82" i="9"/>
  <c r="P82" i="9"/>
  <c r="A82" i="9"/>
  <c r="T28" i="9"/>
  <c r="B81" i="9"/>
  <c r="P81" i="9"/>
  <c r="A81" i="9"/>
  <c r="O79" i="9"/>
  <c r="A79" i="9"/>
  <c r="T27" i="9"/>
  <c r="B78" i="9"/>
  <c r="P78" i="9"/>
  <c r="O78" i="9"/>
  <c r="A78" i="9"/>
  <c r="T26" i="9"/>
  <c r="O77" i="9"/>
  <c r="A77" i="9"/>
  <c r="B76" i="9"/>
  <c r="P76" i="9"/>
  <c r="A76" i="9"/>
  <c r="B75" i="9"/>
  <c r="P75" i="9"/>
  <c r="E75" i="9"/>
  <c r="O75" i="9"/>
  <c r="A75" i="9"/>
  <c r="T23" i="9"/>
  <c r="B74" i="9"/>
  <c r="P74" i="9"/>
  <c r="A74" i="9"/>
  <c r="T22" i="9"/>
  <c r="A73" i="9"/>
  <c r="T21" i="9"/>
  <c r="O72" i="9"/>
  <c r="A72" i="9"/>
  <c r="B71" i="9"/>
  <c r="P71" i="9"/>
  <c r="O71" i="9"/>
  <c r="A71" i="9"/>
  <c r="T19" i="9"/>
  <c r="T17" i="9"/>
  <c r="N43" i="9"/>
  <c r="P70" i="9"/>
  <c r="O70" i="9"/>
  <c r="A70" i="9"/>
  <c r="A48" i="9"/>
  <c r="P47" i="9"/>
  <c r="O47" i="9"/>
  <c r="A47" i="9"/>
  <c r="K45" i="9"/>
  <c r="T7" i="9"/>
  <c r="I37" i="9"/>
  <c r="I40" i="9"/>
  <c r="P40" i="9"/>
  <c r="I41" i="9"/>
  <c r="P41" i="9"/>
  <c r="A41" i="9"/>
  <c r="N40" i="9"/>
  <c r="A40" i="9"/>
  <c r="P37" i="9"/>
  <c r="O37" i="9"/>
  <c r="N37" i="9"/>
  <c r="A37" i="9"/>
  <c r="P36" i="9"/>
  <c r="O36" i="9"/>
  <c r="A36" i="9"/>
  <c r="H17" i="8"/>
  <c r="G17" i="8"/>
  <c r="G16" i="8"/>
  <c r="H15" i="8"/>
  <c r="G15" i="8"/>
  <c r="B20" i="3"/>
  <c r="B19" i="3"/>
  <c r="B18" i="3"/>
  <c r="B17" i="3"/>
  <c r="B16" i="3"/>
  <c r="B15" i="3"/>
  <c r="B14" i="3"/>
  <c r="B13" i="3"/>
  <c r="B12" i="3"/>
  <c r="B10" i="3"/>
  <c r="B184" i="3"/>
  <c r="B183" i="3"/>
  <c r="B182" i="3"/>
  <c r="B167" i="3"/>
  <c r="B166" i="3"/>
  <c r="B165" i="3"/>
  <c r="B164" i="3"/>
  <c r="B163" i="3"/>
  <c r="B162" i="3"/>
  <c r="B159" i="3"/>
  <c r="B158" i="3"/>
  <c r="B157" i="3"/>
  <c r="B156" i="3"/>
  <c r="B155" i="3"/>
  <c r="B152" i="3"/>
  <c r="B151" i="3"/>
  <c r="B150" i="3"/>
  <c r="B149" i="3"/>
  <c r="B148" i="3"/>
  <c r="B147" i="3"/>
  <c r="B140" i="3"/>
  <c r="B139" i="3"/>
  <c r="B138" i="3"/>
  <c r="B135" i="3"/>
  <c r="B134" i="3"/>
  <c r="B133" i="3"/>
  <c r="B132" i="3"/>
  <c r="B131" i="3"/>
  <c r="B130" i="3"/>
  <c r="B127" i="3"/>
  <c r="B126" i="3"/>
  <c r="B125" i="3"/>
  <c r="B124" i="3"/>
  <c r="B123" i="3"/>
  <c r="B122" i="3"/>
  <c r="B121" i="3"/>
  <c r="B117" i="3"/>
  <c r="B116" i="3"/>
  <c r="B115" i="3"/>
  <c r="B114" i="3"/>
  <c r="B113" i="3"/>
  <c r="B112" i="3"/>
  <c r="B108" i="3"/>
  <c r="B107" i="3"/>
  <c r="B106" i="3"/>
  <c r="B105" i="3"/>
  <c r="B104" i="3"/>
  <c r="B94" i="3"/>
  <c r="B93" i="3"/>
  <c r="B92" i="3"/>
  <c r="B91" i="3"/>
  <c r="B90" i="3"/>
  <c r="B89" i="3"/>
  <c r="B88" i="3"/>
  <c r="B87" i="3"/>
  <c r="B84" i="3"/>
  <c r="B83" i="3"/>
  <c r="B82" i="3"/>
  <c r="B81" i="3"/>
  <c r="B80" i="3"/>
  <c r="B79" i="3"/>
  <c r="B78" i="3"/>
  <c r="B77" i="3"/>
  <c r="B73" i="3"/>
  <c r="B72" i="3"/>
  <c r="B71" i="3"/>
  <c r="B70" i="3"/>
  <c r="B69" i="3"/>
  <c r="B68" i="3"/>
  <c r="B65" i="3"/>
  <c r="B64" i="3"/>
  <c r="B63" i="3"/>
  <c r="B62" i="3"/>
  <c r="B61" i="3"/>
  <c r="B60" i="3"/>
  <c r="B57" i="3"/>
  <c r="B56" i="3"/>
  <c r="B55" i="3"/>
  <c r="B54" i="3"/>
  <c r="B53" i="3"/>
  <c r="B52" i="3"/>
  <c r="B49" i="3"/>
  <c r="B48" i="3"/>
  <c r="B47" i="3"/>
  <c r="B46" i="3"/>
  <c r="B45" i="3"/>
  <c r="B44" i="3"/>
  <c r="B41" i="3"/>
  <c r="B40" i="3"/>
  <c r="B39" i="3"/>
  <c r="B38" i="3"/>
  <c r="B37" i="3"/>
  <c r="B36" i="3"/>
  <c r="B35" i="3"/>
  <c r="B34" i="3"/>
  <c r="B23" i="3"/>
  <c r="B22" i="3"/>
  <c r="B9" i="3"/>
  <c r="B8" i="3"/>
  <c r="B6" i="3"/>
  <c r="B5" i="3"/>
  <c r="S40" i="30"/>
  <c r="K46" i="30"/>
  <c r="P344" i="30"/>
  <c r="P81" i="2"/>
  <c r="P51" i="7"/>
  <c r="K52" i="7"/>
  <c r="S53" i="7"/>
  <c r="P57" i="7"/>
  <c r="K58" i="7"/>
  <c r="S59" i="7"/>
  <c r="K100" i="7"/>
  <c r="S101" i="7"/>
  <c r="P99" i="7"/>
  <c r="A16" i="20"/>
  <c r="N16" i="20"/>
  <c r="O16" i="20"/>
  <c r="P16" i="20"/>
  <c r="K46" i="7"/>
  <c r="S47" i="7"/>
  <c r="P45" i="7"/>
  <c r="I32" i="2"/>
  <c r="M30" i="2"/>
  <c r="K11" i="11"/>
  <c r="S13" i="11"/>
  <c r="V13" i="11"/>
  <c r="B19" i="11"/>
  <c r="P19" i="11"/>
  <c r="K7" i="7"/>
  <c r="S8" i="7"/>
  <c r="P6" i="7"/>
  <c r="P18" i="7"/>
  <c r="K19" i="7"/>
  <c r="S20" i="7"/>
  <c r="P24" i="7"/>
  <c r="K25" i="7"/>
  <c r="S26" i="7"/>
  <c r="A49" i="9"/>
  <c r="K70" i="7"/>
  <c r="S71" i="7"/>
  <c r="P69" i="7"/>
  <c r="M28" i="2"/>
  <c r="H25" i="8"/>
  <c r="I35" i="2"/>
  <c r="N34" i="2"/>
  <c r="V86" i="2"/>
  <c r="O155" i="7"/>
  <c r="A65" i="7"/>
  <c r="P166" i="2"/>
  <c r="O166" i="2"/>
  <c r="T25" i="9"/>
  <c r="O175" i="9"/>
  <c r="P176" i="9"/>
  <c r="P180" i="9"/>
  <c r="O40" i="9"/>
  <c r="O41" i="9"/>
  <c r="T20" i="9"/>
  <c r="E74" i="9"/>
  <c r="O74" i="9"/>
  <c r="O76" i="9"/>
  <c r="B77" i="9"/>
  <c r="P77" i="9"/>
  <c r="B79" i="9"/>
  <c r="P79" i="9"/>
  <c r="O81" i="9"/>
  <c r="E82" i="9"/>
  <c r="O82" i="9"/>
  <c r="O174" i="9"/>
  <c r="P175" i="9"/>
  <c r="A176" i="9"/>
  <c r="O178" i="9"/>
  <c r="P179" i="9"/>
  <c r="A180" i="9"/>
  <c r="N14" i="7"/>
  <c r="O20" i="7"/>
  <c r="N35" i="7"/>
  <c r="N59" i="7"/>
  <c r="O65" i="7"/>
  <c r="N83" i="7"/>
  <c r="O89" i="7"/>
  <c r="M33" i="2"/>
  <c r="N78" i="2"/>
  <c r="H23" i="8"/>
  <c r="V82" i="2"/>
  <c r="V167" i="2"/>
  <c r="B162" i="2"/>
  <c r="B10" i="2"/>
  <c r="P10" i="2"/>
  <c r="A20" i="7"/>
  <c r="A89" i="7"/>
  <c r="N41" i="9"/>
  <c r="B73" i="9"/>
  <c r="P73" i="9"/>
  <c r="E83" i="9"/>
  <c r="O83" i="9"/>
  <c r="O179" i="9"/>
  <c r="N20" i="7"/>
  <c r="N65" i="7"/>
  <c r="N89" i="7"/>
  <c r="P105" i="7"/>
  <c r="O73" i="9"/>
  <c r="T30" i="9"/>
  <c r="P73" i="2"/>
  <c r="K80" i="2"/>
  <c r="P155" i="7"/>
  <c r="A248" i="7"/>
  <c r="I255" i="7"/>
  <c r="P253" i="7"/>
  <c r="P238" i="7"/>
  <c r="A241" i="7"/>
  <c r="O248" i="7"/>
  <c r="P262" i="7"/>
  <c r="S262" i="7"/>
  <c r="O239" i="7"/>
  <c r="N241" i="7"/>
  <c r="P248" i="7"/>
  <c r="O232" i="7"/>
  <c r="H208" i="7"/>
  <c r="N253" i="7"/>
  <c r="A253" i="7"/>
  <c r="S255" i="7"/>
  <c r="A19" i="23"/>
  <c r="P153" i="7"/>
  <c r="O153" i="7"/>
  <c r="P41" i="23"/>
  <c r="S18" i="20"/>
  <c r="S43" i="20"/>
  <c r="S11" i="20"/>
  <c r="S29" i="20"/>
  <c r="S41" i="30"/>
  <c r="K78" i="30"/>
  <c r="S47" i="30"/>
  <c r="K62" i="30"/>
  <c r="A20" i="27"/>
  <c r="S26" i="20"/>
  <c r="A8" i="30"/>
  <c r="S50" i="23"/>
  <c r="A255" i="7"/>
  <c r="N255" i="7"/>
  <c r="P255" i="7"/>
  <c r="O255" i="7"/>
  <c r="A15" i="20"/>
  <c r="O15" i="20"/>
  <c r="P15" i="20"/>
  <c r="N86" i="2"/>
  <c r="K84" i="2"/>
  <c r="M32" i="2"/>
  <c r="I34" i="2"/>
  <c r="T9" i="9"/>
  <c r="O49" i="9"/>
  <c r="B49" i="9"/>
  <c r="P49" i="9"/>
  <c r="K19" i="31"/>
  <c r="V22" i="31"/>
  <c r="A8" i="31"/>
  <c r="I24" i="20"/>
  <c r="O45" i="23"/>
  <c r="P45" i="23"/>
  <c r="M49" i="23"/>
  <c r="O208" i="7"/>
  <c r="N208" i="7"/>
  <c r="H27" i="8"/>
  <c r="O203" i="9"/>
  <c r="A203" i="9"/>
  <c r="P203" i="9"/>
  <c r="O48" i="9"/>
  <c r="T8" i="9"/>
  <c r="B48" i="9"/>
  <c r="P48" i="9"/>
  <c r="N35" i="2"/>
  <c r="N36" i="2"/>
  <c r="V90" i="2"/>
  <c r="I37" i="2"/>
  <c r="M35" i="2"/>
  <c r="A26" i="27"/>
  <c r="M40" i="23"/>
  <c r="A20" i="23"/>
  <c r="P234" i="7"/>
  <c r="N234" i="7"/>
  <c r="O234" i="7"/>
  <c r="A111" i="7"/>
  <c r="P162" i="2"/>
  <c r="O162" i="2"/>
  <c r="O77" i="2"/>
  <c r="K94" i="30"/>
  <c r="A21" i="23"/>
  <c r="I39" i="2"/>
  <c r="M37" i="2"/>
  <c r="N37" i="2"/>
  <c r="N38" i="2"/>
  <c r="V94" i="2"/>
  <c r="O210" i="7"/>
  <c r="A23" i="20"/>
  <c r="O23" i="20"/>
  <c r="P23" i="20"/>
  <c r="A21" i="27"/>
  <c r="A112" i="7"/>
  <c r="K220" i="7"/>
  <c r="S223" i="7"/>
  <c r="V223" i="7"/>
  <c r="K209" i="7"/>
  <c r="S210" i="7"/>
  <c r="A208" i="7"/>
  <c r="P208" i="7"/>
  <c r="K212" i="7"/>
  <c r="H29" i="8"/>
  <c r="A26" i="20"/>
  <c r="P26" i="20"/>
  <c r="O26" i="20"/>
  <c r="N26" i="20"/>
  <c r="S14" i="31"/>
  <c r="S22" i="31"/>
  <c r="S11" i="31"/>
  <c r="S12" i="31"/>
  <c r="P85" i="2"/>
  <c r="A9" i="30"/>
  <c r="O206" i="9"/>
  <c r="P206" i="9"/>
  <c r="A206" i="9"/>
  <c r="P24" i="20"/>
  <c r="O24" i="20"/>
  <c r="A24" i="20"/>
  <c r="N24" i="20"/>
  <c r="M34" i="2"/>
  <c r="I36" i="2"/>
  <c r="O156" i="7"/>
  <c r="P156" i="7"/>
  <c r="A27" i="27"/>
  <c r="O85" i="2"/>
  <c r="N90" i="2"/>
  <c r="K88" i="2"/>
  <c r="K110" i="30"/>
  <c r="N94" i="2"/>
  <c r="K92" i="2"/>
  <c r="A10" i="30"/>
  <c r="V76" i="30"/>
  <c r="I41" i="2"/>
  <c r="N39" i="2"/>
  <c r="M39" i="2"/>
  <c r="N40" i="2"/>
  <c r="O89" i="2"/>
  <c r="P89" i="2"/>
  <c r="V124" i="30"/>
  <c r="H31" i="8"/>
  <c r="B222" i="7"/>
  <c r="A210" i="7"/>
  <c r="P210" i="7"/>
  <c r="V349" i="30"/>
  <c r="K32" i="20"/>
  <c r="H18" i="20"/>
  <c r="P29" i="20"/>
  <c r="A29" i="20"/>
  <c r="O29" i="20"/>
  <c r="A113" i="7"/>
  <c r="A22" i="23"/>
  <c r="A28" i="27"/>
  <c r="M36" i="2"/>
  <c r="I38" i="2"/>
  <c r="P186" i="9"/>
  <c r="O186" i="9"/>
  <c r="A186" i="9"/>
  <c r="V60" i="30"/>
  <c r="V108" i="30"/>
  <c r="V92" i="30"/>
  <c r="O157" i="7"/>
  <c r="P157" i="7"/>
  <c r="K126" i="30"/>
  <c r="I40" i="2"/>
  <c r="M38" i="2"/>
  <c r="A29" i="27"/>
  <c r="I36" i="20"/>
  <c r="P222" i="7"/>
  <c r="V98" i="2"/>
  <c r="A11" i="30"/>
  <c r="P93" i="2"/>
  <c r="A23" i="23"/>
  <c r="A114" i="7"/>
  <c r="S35" i="20"/>
  <c r="S39" i="20"/>
  <c r="S36" i="20"/>
  <c r="I43" i="2"/>
  <c r="N42" i="2"/>
  <c r="N41" i="2"/>
  <c r="V102" i="2"/>
  <c r="M41" i="2"/>
  <c r="O93" i="2"/>
  <c r="P187" i="9"/>
  <c r="O187" i="9"/>
  <c r="A187" i="9"/>
  <c r="H33" i="8"/>
  <c r="N98" i="2"/>
  <c r="K96" i="2"/>
  <c r="K142" i="30"/>
  <c r="P97" i="2"/>
  <c r="N102" i="2"/>
  <c r="K100" i="2"/>
  <c r="N43" i="2"/>
  <c r="N44" i="2"/>
  <c r="V106" i="2"/>
  <c r="M43" i="2"/>
  <c r="I45" i="2"/>
  <c r="V140" i="30"/>
  <c r="O35" i="20"/>
  <c r="A35" i="20"/>
  <c r="P35" i="20"/>
  <c r="H35" i="8"/>
  <c r="O97" i="2"/>
  <c r="O159" i="7"/>
  <c r="P159" i="7"/>
  <c r="A38" i="8"/>
  <c r="P39" i="20"/>
  <c r="A39" i="20"/>
  <c r="N39" i="20"/>
  <c r="O39" i="20"/>
  <c r="M40" i="2"/>
  <c r="I42" i="2"/>
  <c r="A30" i="27"/>
  <c r="A188" i="9"/>
  <c r="P188" i="9"/>
  <c r="O188" i="9"/>
  <c r="A115" i="7"/>
  <c r="N36" i="20"/>
  <c r="A36" i="20"/>
  <c r="O36" i="20"/>
  <c r="P36" i="20"/>
  <c r="K158" i="30"/>
  <c r="A116" i="7"/>
  <c r="A31" i="27"/>
  <c r="H29" i="20"/>
  <c r="P43" i="20"/>
  <c r="A43" i="20"/>
  <c r="O43" i="20"/>
  <c r="O101" i="2"/>
  <c r="V156" i="30"/>
  <c r="M42" i="2"/>
  <c r="I44" i="2"/>
  <c r="O39" i="8"/>
  <c r="H37" i="8"/>
  <c r="P101" i="2"/>
  <c r="O160" i="7"/>
  <c r="P160" i="7"/>
  <c r="N195" i="9"/>
  <c r="O195" i="9"/>
  <c r="A195" i="9"/>
  <c r="P195" i="9"/>
  <c r="A40" i="8"/>
  <c r="M45" i="2"/>
  <c r="N45" i="2"/>
  <c r="I47" i="2"/>
  <c r="N46" i="2"/>
  <c r="N106" i="2"/>
  <c r="K104" i="2"/>
  <c r="K174" i="30"/>
  <c r="V110" i="2"/>
  <c r="O161" i="7"/>
  <c r="P161" i="7"/>
  <c r="A42" i="8"/>
  <c r="M44" i="2"/>
  <c r="I46" i="2"/>
  <c r="O105" i="2"/>
  <c r="K45" i="20"/>
  <c r="K52" i="20"/>
  <c r="P105" i="2"/>
  <c r="N110" i="2"/>
  <c r="K108" i="2"/>
  <c r="I49" i="2"/>
  <c r="N48" i="2"/>
  <c r="M47" i="2"/>
  <c r="N47" i="2"/>
  <c r="V114" i="2"/>
  <c r="N196" i="9"/>
  <c r="P196" i="9"/>
  <c r="A196" i="9"/>
  <c r="O196" i="9"/>
  <c r="O41" i="8"/>
  <c r="H39" i="8"/>
  <c r="A39" i="8"/>
  <c r="V172" i="30"/>
  <c r="I49" i="20"/>
  <c r="A32" i="27"/>
  <c r="A117" i="7"/>
  <c r="K190" i="30"/>
  <c r="O49" i="20"/>
  <c r="N49" i="20"/>
  <c r="P49" i="20"/>
  <c r="A49" i="20"/>
  <c r="O43" i="8"/>
  <c r="A41" i="8"/>
  <c r="H41" i="8"/>
  <c r="N114" i="2"/>
  <c r="K112" i="2"/>
  <c r="A197" i="9"/>
  <c r="O197" i="9"/>
  <c r="N197" i="9"/>
  <c r="P197" i="9"/>
  <c r="I51" i="2"/>
  <c r="N50" i="2"/>
  <c r="N49" i="2"/>
  <c r="M49" i="2"/>
  <c r="A44" i="8"/>
  <c r="P48" i="20"/>
  <c r="A48" i="20"/>
  <c r="O48" i="20"/>
  <c r="O162" i="7"/>
  <c r="P162" i="7"/>
  <c r="I56" i="20"/>
  <c r="V188" i="30"/>
  <c r="P109" i="2"/>
  <c r="S61" i="20"/>
  <c r="S60" i="20"/>
  <c r="S56" i="20"/>
  <c r="S55" i="20"/>
  <c r="I48" i="2"/>
  <c r="M46" i="2"/>
  <c r="A118" i="7"/>
  <c r="O109" i="2"/>
  <c r="S49" i="20"/>
  <c r="S48" i="20"/>
  <c r="K206" i="30"/>
  <c r="A119" i="7"/>
  <c r="A59" i="20"/>
  <c r="N59" i="20"/>
  <c r="I60" i="20"/>
  <c r="I61" i="20"/>
  <c r="N51" i="2"/>
  <c r="I53" i="2"/>
  <c r="M51" i="2"/>
  <c r="N52" i="2"/>
  <c r="N118" i="2"/>
  <c r="K116" i="2"/>
  <c r="V204" i="30"/>
  <c r="A56" i="20"/>
  <c r="O56" i="20"/>
  <c r="N56" i="20"/>
  <c r="P56" i="20"/>
  <c r="P198" i="9"/>
  <c r="A198" i="9"/>
  <c r="O198" i="9"/>
  <c r="N198" i="9"/>
  <c r="A43" i="8"/>
  <c r="O45" i="8"/>
  <c r="H43" i="8"/>
  <c r="O163" i="7"/>
  <c r="P163" i="7"/>
  <c r="I50" i="2"/>
  <c r="M48" i="2"/>
  <c r="O55" i="20"/>
  <c r="P55" i="20"/>
  <c r="A55" i="20"/>
  <c r="A46" i="8"/>
  <c r="V118" i="2"/>
  <c r="P113" i="2"/>
  <c r="O113" i="2"/>
  <c r="K222" i="30"/>
  <c r="M50" i="2"/>
  <c r="I52" i="2"/>
  <c r="H45" i="8"/>
  <c r="O47" i="8"/>
  <c r="A45" i="8"/>
  <c r="P117" i="2"/>
  <c r="M53" i="2"/>
  <c r="N53" i="2"/>
  <c r="N54" i="2"/>
  <c r="V126" i="2"/>
  <c r="I55" i="2"/>
  <c r="A120" i="7"/>
  <c r="V220" i="30"/>
  <c r="A48" i="8"/>
  <c r="N122" i="2"/>
  <c r="K120" i="2"/>
  <c r="V122" i="2"/>
  <c r="O199" i="9"/>
  <c r="A199" i="9"/>
  <c r="P199" i="9"/>
  <c r="N199" i="9"/>
  <c r="O117" i="2"/>
  <c r="A61" i="20"/>
  <c r="O61" i="20"/>
  <c r="P61" i="20"/>
  <c r="N61" i="20"/>
  <c r="H8" i="20"/>
  <c r="A65" i="20"/>
  <c r="O65" i="20"/>
  <c r="P65" i="20"/>
  <c r="H43" i="20"/>
  <c r="N60" i="20"/>
  <c r="P60" i="20"/>
  <c r="A60" i="20"/>
  <c r="O60" i="20"/>
  <c r="O167" i="7"/>
  <c r="P167" i="7"/>
  <c r="K238" i="30"/>
  <c r="I71" i="20"/>
  <c r="A69" i="20"/>
  <c r="N126" i="2"/>
  <c r="K124" i="2"/>
  <c r="O238" i="9"/>
  <c r="P238" i="9"/>
  <c r="A238" i="9"/>
  <c r="P121" i="2"/>
  <c r="O168" i="7"/>
  <c r="P168" i="7"/>
  <c r="I54" i="2"/>
  <c r="M52" i="2"/>
  <c r="A50" i="8"/>
  <c r="O121" i="2"/>
  <c r="V236" i="30"/>
  <c r="A121" i="7"/>
  <c r="O49" i="8"/>
  <c r="H47" i="8"/>
  <c r="A47" i="8"/>
  <c r="S71" i="20"/>
  <c r="S70" i="20"/>
  <c r="S73" i="20"/>
  <c r="I57" i="2"/>
  <c r="N55" i="2"/>
  <c r="M55" i="2"/>
  <c r="N56" i="2"/>
  <c r="K254" i="30"/>
  <c r="V130" i="2"/>
  <c r="A52" i="8"/>
  <c r="I56" i="2"/>
  <c r="M54" i="2"/>
  <c r="N130" i="2"/>
  <c r="K128" i="2"/>
  <c r="P125" i="2"/>
  <c r="I59" i="2"/>
  <c r="N58" i="2"/>
  <c r="N57" i="2"/>
  <c r="M57" i="2"/>
  <c r="O51" i="8"/>
  <c r="A49" i="8"/>
  <c r="H49" i="8"/>
  <c r="O169" i="7"/>
  <c r="P169" i="7"/>
  <c r="P240" i="9"/>
  <c r="N240" i="9"/>
  <c r="O240" i="9"/>
  <c r="A240" i="9"/>
  <c r="I76" i="20"/>
  <c r="O73" i="20"/>
  <c r="A73" i="20"/>
  <c r="P73" i="20"/>
  <c r="A122" i="7"/>
  <c r="V252" i="30"/>
  <c r="O125" i="2"/>
  <c r="N71" i="20"/>
  <c r="P71" i="20"/>
  <c r="O71" i="20"/>
  <c r="A71" i="20"/>
  <c r="K239" i="9"/>
  <c r="S240" i="9"/>
  <c r="O70" i="20"/>
  <c r="A70" i="20"/>
  <c r="P70" i="20"/>
  <c r="K270" i="30"/>
  <c r="O170" i="7"/>
  <c r="P170" i="7"/>
  <c r="A123" i="7"/>
  <c r="V134" i="2"/>
  <c r="N134" i="2"/>
  <c r="K132" i="2"/>
  <c r="I58" i="2"/>
  <c r="M56" i="2"/>
  <c r="I79" i="20"/>
  <c r="P76" i="20"/>
  <c r="A76" i="20"/>
  <c r="N76" i="20"/>
  <c r="O76" i="20"/>
  <c r="A51" i="8"/>
  <c r="O53" i="8"/>
  <c r="H51" i="8"/>
  <c r="I61" i="2"/>
  <c r="N59" i="2"/>
  <c r="N60" i="2"/>
  <c r="V138" i="2"/>
  <c r="M59" i="2"/>
  <c r="P129" i="2"/>
  <c r="A54" i="8"/>
  <c r="V268" i="30"/>
  <c r="S76" i="20"/>
  <c r="H76" i="20"/>
  <c r="K78" i="20"/>
  <c r="S79" i="20"/>
  <c r="O129" i="2"/>
  <c r="K286" i="30"/>
  <c r="M61" i="2"/>
  <c r="N62" i="2"/>
  <c r="I63" i="2"/>
  <c r="N61" i="2"/>
  <c r="A56" i="8"/>
  <c r="N79" i="20"/>
  <c r="V79" i="20"/>
  <c r="H73" i="20"/>
  <c r="A79" i="20"/>
  <c r="O79" i="20"/>
  <c r="P79" i="20"/>
  <c r="O133" i="2"/>
  <c r="O171" i="7"/>
  <c r="P171" i="7"/>
  <c r="V284" i="30"/>
  <c r="H53" i="8"/>
  <c r="O55" i="8"/>
  <c r="A53" i="8"/>
  <c r="M58" i="2"/>
  <c r="I60" i="2"/>
  <c r="P133" i="2"/>
  <c r="N138" i="2"/>
  <c r="K136" i="2"/>
  <c r="A124" i="7"/>
  <c r="K302" i="30"/>
  <c r="O137" i="2"/>
  <c r="A125" i="7"/>
  <c r="N142" i="2"/>
  <c r="K140" i="2"/>
  <c r="V300" i="30"/>
  <c r="O172" i="7"/>
  <c r="P172" i="7"/>
  <c r="M60" i="2"/>
  <c r="I62" i="2"/>
  <c r="O57" i="8"/>
  <c r="H55" i="8"/>
  <c r="A55" i="8"/>
  <c r="V142" i="2"/>
  <c r="N63" i="2"/>
  <c r="N64" i="2"/>
  <c r="V146" i="2"/>
  <c r="I65" i="2"/>
  <c r="M63" i="2"/>
  <c r="P137" i="2"/>
  <c r="A58" i="8"/>
  <c r="A57" i="8"/>
  <c r="O59" i="8"/>
  <c r="H57" i="8"/>
  <c r="N146" i="2"/>
  <c r="K144" i="2"/>
  <c r="P141" i="2"/>
  <c r="I64" i="2"/>
  <c r="M62" i="2"/>
  <c r="O173" i="7"/>
  <c r="P173" i="7"/>
  <c r="A60" i="8"/>
  <c r="O141" i="2"/>
  <c r="A126" i="7"/>
  <c r="N66" i="2"/>
  <c r="M65" i="2"/>
  <c r="N65" i="2"/>
  <c r="P145" i="2"/>
  <c r="O145" i="2"/>
  <c r="A127" i="7"/>
  <c r="O174" i="7"/>
  <c r="P174" i="7"/>
  <c r="A62" i="8"/>
  <c r="N150" i="2"/>
  <c r="K148" i="2"/>
  <c r="O61" i="8"/>
  <c r="A59" i="8"/>
  <c r="H59" i="8"/>
  <c r="V150" i="2"/>
  <c r="M64" i="2"/>
  <c r="I66" i="2"/>
  <c r="M66" i="2"/>
  <c r="H61" i="8"/>
  <c r="A61" i="8"/>
  <c r="P149" i="2"/>
  <c r="A128" i="7"/>
  <c r="O149" i="2"/>
  <c r="O175" i="7"/>
  <c r="P175" i="7"/>
  <c r="A129" i="7"/>
  <c r="O176" i="7"/>
  <c r="P176" i="7"/>
  <c r="O180" i="7"/>
  <c r="P180" i="7"/>
  <c r="A130" i="7"/>
  <c r="O181" i="7"/>
  <c r="P181" i="7"/>
  <c r="A131" i="7"/>
  <c r="O182" i="7"/>
  <c r="P182" i="7"/>
  <c r="A132" i="7"/>
  <c r="A133" i="7"/>
  <c r="O183" i="7"/>
  <c r="P183" i="7"/>
  <c r="A134" i="7"/>
  <c r="O184" i="7"/>
  <c r="P184" i="7"/>
  <c r="A135" i="7"/>
  <c r="O185" i="7"/>
  <c r="P185" i="7"/>
  <c r="A136" i="7"/>
  <c r="O186" i="7"/>
  <c r="P186" i="7"/>
  <c r="A137" i="7"/>
  <c r="O187" i="7"/>
  <c r="P187" i="7"/>
  <c r="O188" i="7"/>
  <c r="P188" i="7"/>
  <c r="A138" i="7"/>
  <c r="O189" i="7"/>
  <c r="P189" i="7"/>
  <c r="A139" i="7"/>
  <c r="A140" i="7"/>
  <c r="O190" i="7"/>
  <c r="P190" i="7"/>
  <c r="O191" i="7"/>
  <c r="P191" i="7"/>
  <c r="A141" i="7"/>
  <c r="O195" i="7"/>
  <c r="P195" i="7"/>
</calcChain>
</file>

<file path=xl/sharedStrings.xml><?xml version="1.0" encoding="utf-8"?>
<sst xmlns="http://schemas.openxmlformats.org/spreadsheetml/2006/main" count="7131" uniqueCount="1597">
  <si>
    <t>clause</t>
  </si>
  <si>
    <t>condition</t>
  </si>
  <si>
    <t>type</t>
  </si>
  <si>
    <t>values_list</t>
  </si>
  <si>
    <t>name</t>
  </si>
  <si>
    <t>comments</t>
  </si>
  <si>
    <t>hideInContents</t>
  </si>
  <si>
    <t>required</t>
  </si>
  <si>
    <t>text</t>
  </si>
  <si>
    <t>setting_name</t>
  </si>
  <si>
    <t>value</t>
  </si>
  <si>
    <t>form_id</t>
  </si>
  <si>
    <t>form_version</t>
  </si>
  <si>
    <t>table_id</t>
  </si>
  <si>
    <t>survey</t>
  </si>
  <si>
    <t>choice_list_name</t>
  </si>
  <si>
    <t>data_value</t>
  </si>
  <si>
    <t>yesno</t>
  </si>
  <si>
    <t>select_one</t>
  </si>
  <si>
    <t>integer</t>
  </si>
  <si>
    <t>begin screen</t>
  </si>
  <si>
    <t>end screen</t>
  </si>
  <si>
    <t>note</t>
  </si>
  <si>
    <t>if</t>
  </si>
  <si>
    <t>end if</t>
  </si>
  <si>
    <t>constraint</t>
  </si>
  <si>
    <t>house</t>
  </si>
  <si>
    <t>material_floor</t>
  </si>
  <si>
    <t>material_walls</t>
  </si>
  <si>
    <t>material_roof</t>
  </si>
  <si>
    <t>source_lighting</t>
  </si>
  <si>
    <t>source_cooking</t>
  </si>
  <si>
    <t>sanitation</t>
  </si>
  <si>
    <t>sewage</t>
  </si>
  <si>
    <t>internet</t>
  </si>
  <si>
    <t>garbage</t>
  </si>
  <si>
    <t>transportation</t>
  </si>
  <si>
    <t>source_utility</t>
  </si>
  <si>
    <t>source_dwelling</t>
  </si>
  <si>
    <t>source_heating</t>
  </si>
  <si>
    <t>source_drinking</t>
  </si>
  <si>
    <t>dwelling_ownership</t>
  </si>
  <si>
    <t xml:space="preserve">end if </t>
  </si>
  <si>
    <t>*Other than what's on your phone</t>
  </si>
  <si>
    <t>For clothes</t>
  </si>
  <si>
    <t>*Not a flat screen</t>
  </si>
  <si>
    <t>*Not just for phone or tablet</t>
  </si>
  <si>
    <t>calculation</t>
  </si>
  <si>
    <t>english</t>
  </si>
  <si>
    <t>Arabic</t>
  </si>
  <si>
    <t>English</t>
  </si>
  <si>
    <t xml:space="preserve">if </t>
  </si>
  <si>
    <t>query_name</t>
  </si>
  <si>
    <t>query_type</t>
  </si>
  <si>
    <t>uri</t>
  </si>
  <si>
    <t>callback</t>
  </si>
  <si>
    <t>linked_form_id</t>
  </si>
  <si>
    <t>linked_table_id</t>
  </si>
  <si>
    <t>selection</t>
  </si>
  <si>
    <t>selectionArgs</t>
  </si>
  <si>
    <t>linked_table</t>
  </si>
  <si>
    <t>In pounds</t>
  </si>
  <si>
    <t>1. Yes</t>
  </si>
  <si>
    <t>2. No</t>
  </si>
  <si>
    <t>1. Apartment</t>
  </si>
  <si>
    <t>2. More than one apartment</t>
  </si>
  <si>
    <t>3. Villa or house</t>
  </si>
  <si>
    <t>4. Village house</t>
  </si>
  <si>
    <t>5. One room or more in the same unit</t>
  </si>
  <si>
    <t>6. One independent room or more</t>
  </si>
  <si>
    <t>7. Cottage (3echa) or tent</t>
  </si>
  <si>
    <t>8. Cemetry</t>
  </si>
  <si>
    <t>1. Mud</t>
  </si>
  <si>
    <t>2. Wooden</t>
  </si>
  <si>
    <t>3. Brick or stone</t>
  </si>
  <si>
    <t>4. Tiles or cement</t>
  </si>
  <si>
    <t>5. Ceramic/marble</t>
  </si>
  <si>
    <t>6. Parquet</t>
  </si>
  <si>
    <t>1. Brick, stone and concrete</t>
  </si>
  <si>
    <t>2. Brick, stone and mud</t>
  </si>
  <si>
    <t>3. Wood and tree branches</t>
  </si>
  <si>
    <t>4. Reinforced concrete</t>
  </si>
  <si>
    <t>5. Mud bricks</t>
  </si>
  <si>
    <t>6. No walls</t>
  </si>
  <si>
    <t>1. Straw</t>
  </si>
  <si>
    <t>2. Mud</t>
  </si>
  <si>
    <t>3. Wood</t>
  </si>
  <si>
    <t>4. Steel (galvanised)</t>
  </si>
  <si>
    <t>5. Reinforced concrete</t>
  </si>
  <si>
    <t>6. Tiles</t>
  </si>
  <si>
    <t>1. Owned</t>
  </si>
  <si>
    <t>2. Condominium</t>
  </si>
  <si>
    <t>3. Rent, unfurnished (old law)</t>
  </si>
  <si>
    <t>4. Rent, furnished</t>
  </si>
  <si>
    <t>5. Rent, new law</t>
  </si>
  <si>
    <t>6. Fringe benefit/grant</t>
  </si>
  <si>
    <t>1. Tap water inside the dwelling</t>
  </si>
  <si>
    <t>2. Tap water outside the dwelling</t>
  </si>
  <si>
    <t>3. Pump/closed well</t>
  </si>
  <si>
    <t>4. Open well (ex. Sinai)</t>
  </si>
  <si>
    <t>5. Public tap</t>
  </si>
  <si>
    <t>6. River or stream</t>
  </si>
  <si>
    <t>7. Water seller</t>
  </si>
  <si>
    <t>8. Mineral water</t>
  </si>
  <si>
    <t>1. Public/general electric network</t>
  </si>
  <si>
    <t>2. Private generator</t>
  </si>
  <si>
    <t>3. Gas</t>
  </si>
  <si>
    <t>4. Kerosene</t>
  </si>
  <si>
    <t>2. Kerosene</t>
  </si>
  <si>
    <t>3. Electric</t>
  </si>
  <si>
    <t>4. Solar</t>
  </si>
  <si>
    <t>5. Charcoal/firewood</t>
  </si>
  <si>
    <t>1. Central Heating</t>
  </si>
  <si>
    <t>2. Gas</t>
  </si>
  <si>
    <t>3. Kerosene</t>
  </si>
  <si>
    <t>4. Electric</t>
  </si>
  <si>
    <t>5. Solar</t>
  </si>
  <si>
    <t>6. Charcoal/firewood</t>
  </si>
  <si>
    <t>7. None found</t>
  </si>
  <si>
    <t>1. Toilet connected to public network - inside house</t>
  </si>
  <si>
    <t>2. Toilet connected to tank- inside house</t>
  </si>
  <si>
    <t>3. Shared  toilet connected to public network - inside building</t>
  </si>
  <si>
    <t>4. Shared toilet connected to tank - inside building</t>
  </si>
  <si>
    <t>5. Public toilet</t>
  </si>
  <si>
    <t>6. No toilet</t>
  </si>
  <si>
    <t>1. Public sewage system</t>
  </si>
  <si>
    <t>98. Don’t know</t>
  </si>
  <si>
    <t>1. Public refuse collector</t>
  </si>
  <si>
    <t>2. Private refuse collector</t>
  </si>
  <si>
    <t>3. Dump</t>
  </si>
  <si>
    <t>4. Burn or bury</t>
  </si>
  <si>
    <t>5. Used as fertiliser</t>
  </si>
  <si>
    <t>6. Throw in road or stream</t>
  </si>
  <si>
    <t>1. DSL</t>
  </si>
  <si>
    <t>2. USB modem</t>
  </si>
  <si>
    <t>3. Dial-up</t>
  </si>
  <si>
    <t>4. Through neighbors</t>
  </si>
  <si>
    <t>5. None</t>
  </si>
  <si>
    <t>97. Other</t>
  </si>
  <si>
    <t>2. Public transportation</t>
  </si>
  <si>
    <t>yesnodontknow</t>
  </si>
  <si>
    <t>quest1_00_0</t>
  </si>
  <si>
    <t>3_0_individual_data</t>
  </si>
  <si>
    <t>4_0_housing_information</t>
  </si>
  <si>
    <t>do section 3_0_individual_data</t>
  </si>
  <si>
    <t>do section 4_0_housing_information</t>
  </si>
  <si>
    <t>member_info_subform_3_0</t>
  </si>
  <si>
    <t>quest1_03_0</t>
  </si>
  <si>
    <t>choice_filter</t>
  </si>
  <si>
    <t>First and Last Name</t>
  </si>
  <si>
    <t xml:space="preserve">اسم المشرف </t>
  </si>
  <si>
    <t xml:space="preserve">رقم المشرف </t>
  </si>
  <si>
    <t>date</t>
  </si>
  <si>
    <t>household_present</t>
  </si>
  <si>
    <t>نهاية المقابلة و حفظ النتيجة</t>
  </si>
  <si>
    <t>End Interview and Finalize Result as Complete</t>
  </si>
  <si>
    <t xml:space="preserve">finalize </t>
  </si>
  <si>
    <t>Save form</t>
  </si>
  <si>
    <t>نهاية الزيارة، انتقل إلى الزيارة التالية</t>
  </si>
  <si>
    <t>End first visit, go to next visit</t>
  </si>
  <si>
    <t>If this is not the first visit click "Next"</t>
  </si>
  <si>
    <t>End second visit and go to next visit.</t>
  </si>
  <si>
    <t>If this is not the second visit click "Next"</t>
  </si>
  <si>
    <t xml:space="preserve">select_one </t>
  </si>
  <si>
    <t>End Interview and Finalize Result</t>
  </si>
  <si>
    <t>نهاية الزيارة</t>
  </si>
  <si>
    <t>End Visit</t>
  </si>
  <si>
    <t>do section 1_0_statistical_identification</t>
  </si>
  <si>
    <t>geopoint</t>
  </si>
  <si>
    <t xml:space="preserve">GPS :   سجل الإحداثيات  </t>
  </si>
  <si>
    <t>select_one_inline</t>
  </si>
  <si>
    <t>رقم تليفون جديد</t>
  </si>
  <si>
    <t>begin  screen</t>
  </si>
  <si>
    <t>Please update the following information:</t>
  </si>
  <si>
    <t>select_one_dropdown</t>
  </si>
  <si>
    <t>gov_csv</t>
  </si>
  <si>
    <t>حدد محافظة جديدة</t>
  </si>
  <si>
    <t>kism_csv</t>
  </si>
  <si>
    <t>shyakha_csv</t>
  </si>
  <si>
    <t>اسم الشارع الجديد</t>
  </si>
  <si>
    <t>رقم الشارع الجديد</t>
  </si>
  <si>
    <t>csv</t>
  </si>
  <si>
    <t>"gov.csv"</t>
  </si>
  <si>
    <t>country_csv</t>
  </si>
  <si>
    <t>"country.csv"</t>
  </si>
  <si>
    <t>consent</t>
  </si>
  <si>
    <t>instance_name</t>
  </si>
  <si>
    <t>q100</t>
  </si>
  <si>
    <t>assign</t>
  </si>
  <si>
    <t>q104</t>
  </si>
  <si>
    <t>q105</t>
  </si>
  <si>
    <t>q106</t>
  </si>
  <si>
    <t>q107</t>
  </si>
  <si>
    <t>q108</t>
  </si>
  <si>
    <t>q109</t>
  </si>
  <si>
    <t>q101</t>
  </si>
  <si>
    <t>q102</t>
  </si>
  <si>
    <t>q103</t>
  </si>
  <si>
    <t>q111</t>
  </si>
  <si>
    <t>q100 = ?</t>
  </si>
  <si>
    <t>[ data('q100') ]</t>
  </si>
  <si>
    <t>'q100='+opendatakit.encodeURIDataElement('q100')</t>
  </si>
  <si>
    <t>quest1_02_0</t>
  </si>
  <si>
    <t>tracking_splits_subform_2_0</t>
  </si>
  <si>
    <t>do section 2_0_tracking_splits</t>
  </si>
  <si>
    <t>2_0_tracking_splits</t>
  </si>
  <si>
    <t>roster</t>
  </si>
  <si>
    <t>quest1_03_0_update</t>
  </si>
  <si>
    <t>quest1_04_0</t>
  </si>
  <si>
    <t>employed_help_subform_4_0</t>
  </si>
  <si>
    <t>ما هي المادة الأساسية المستخدمة في بناء الجدار الخارجي؟</t>
  </si>
  <si>
    <t>ما نوع دورة المياه التي تستخدمها الاسرة؟</t>
  </si>
  <si>
    <t>ما هي الوسيلة الرئيسية للتخلص من القمامة؟</t>
  </si>
  <si>
    <t>ما هو مصدر الطاقة الرئيسي للطهي؟</t>
  </si>
  <si>
    <t>ما هو مصدر الطاقة الرئيسي لتدفئة المياه؟</t>
  </si>
  <si>
    <t>يرجى تحديث المعلومات التالية:</t>
  </si>
  <si>
    <t>1. نعم</t>
  </si>
  <si>
    <t>2. لا</t>
  </si>
  <si>
    <t>2.لا</t>
  </si>
  <si>
    <t>1. شقة</t>
  </si>
  <si>
    <t>2. أكثر من شقة</t>
  </si>
  <si>
    <t>3. فيلا أو منزل بأكمله</t>
  </si>
  <si>
    <t xml:space="preserve">4. بيت ريفي بأكمله </t>
  </si>
  <si>
    <t xml:space="preserve">8. حوش أو مدفن </t>
  </si>
  <si>
    <t>7. عشة أو خيمة</t>
  </si>
  <si>
    <t>1. أرضية ترابية</t>
  </si>
  <si>
    <t>6. باركيه</t>
  </si>
  <si>
    <t>3. الخشب وفروع الشجر</t>
  </si>
  <si>
    <t>6. لا يوجد جدران للمسكن</t>
  </si>
  <si>
    <t>1. قش</t>
  </si>
  <si>
    <t>2. طين</t>
  </si>
  <si>
    <t>3. الواح خشبية</t>
  </si>
  <si>
    <t>1. ملك</t>
  </si>
  <si>
    <t>2. تمليك</t>
  </si>
  <si>
    <t>4. بئر مفتوح</t>
  </si>
  <si>
    <t>4.بئر مفتوح</t>
  </si>
  <si>
    <t xml:space="preserve">5. حنفية عمومية </t>
  </si>
  <si>
    <t>6. نهر أو ترعة</t>
  </si>
  <si>
    <t>8. مياه معدنية</t>
  </si>
  <si>
    <t>1. خط المشترك الرقمي DSL</t>
  </si>
  <si>
    <t xml:space="preserve">2. USB فلاشة انترنت </t>
  </si>
  <si>
    <t>4. من خلال الجيران</t>
  </si>
  <si>
    <t>98. لا أعرف</t>
  </si>
  <si>
    <t>2. مولد خاص</t>
  </si>
  <si>
    <t>4. الكيروسين</t>
  </si>
  <si>
    <t>2. الكيروسين</t>
  </si>
  <si>
    <t>5. الفحم / الحطب</t>
  </si>
  <si>
    <t>1. تدفئة مركزية</t>
  </si>
  <si>
    <t>2. الغاز</t>
  </si>
  <si>
    <t>3. الكيروسين</t>
  </si>
  <si>
    <t>6. الفحم / الحطب</t>
  </si>
  <si>
    <t xml:space="preserve">1. مرحاض داخل الوحدة السكنية متصل بشبكة مجاري </t>
  </si>
  <si>
    <t xml:space="preserve">3. مقلب زبالة </t>
  </si>
  <si>
    <t xml:space="preserve">5. تستخدم كسماد </t>
  </si>
  <si>
    <t>disableSwipeNavigation</t>
  </si>
  <si>
    <t>1. Consent</t>
  </si>
  <si>
    <t>2. Do not consent</t>
  </si>
  <si>
    <t>1. Household present</t>
  </si>
  <si>
    <t>2. HH not found</t>
  </si>
  <si>
    <t>3. Refused to respond</t>
  </si>
  <si>
    <t>6. Moved in entirety to unknown location</t>
  </si>
  <si>
    <t>7. Entire household left the country</t>
  </si>
  <si>
    <t>8. Entire household died</t>
  </si>
  <si>
    <t>9. Temporarily away</t>
  </si>
  <si>
    <t>prompt_type_name</t>
  </si>
  <si>
    <t>[auto-populated]</t>
  </si>
  <si>
    <t>If 97, provide textbox</t>
  </si>
  <si>
    <t>في جنيه مصرى</t>
  </si>
  <si>
    <t>للملابس</t>
  </si>
  <si>
    <t xml:space="preserve">* ليس شاشة مسطحة
</t>
  </si>
  <si>
    <t>* ليس فقط للهاتف أو الكمبيوتر اللوحي</t>
  </si>
  <si>
    <t>* بخلاف ما على هاتفك</t>
  </si>
  <si>
    <t>عربى</t>
  </si>
  <si>
    <t>13_0_Statistical_Identification</t>
  </si>
  <si>
    <t xml:space="preserve">13.0 Statistical Identification </t>
  </si>
  <si>
    <t>do section 13_0_Statistical_Identification</t>
  </si>
  <si>
    <t>do section 14_1_Current_Migration</t>
  </si>
  <si>
    <t>do section 14_2_Remittances</t>
  </si>
  <si>
    <t>do section 14_3_Other_income</t>
  </si>
  <si>
    <t>do section 15_1_Non_agriculture_ent</t>
  </si>
  <si>
    <t>14_1_Current_Migration</t>
  </si>
  <si>
    <t>14.1 Current Migration</t>
  </si>
  <si>
    <t>14_2_Remittances</t>
  </si>
  <si>
    <t>14_3_Other_income</t>
  </si>
  <si>
    <t>14.3 Other sources of income</t>
  </si>
  <si>
    <t>15_1_Non_agriculture_ent</t>
  </si>
  <si>
    <t>cropcode_csv</t>
  </si>
  <si>
    <t>"crop_code2012.csv"</t>
  </si>
  <si>
    <t>_.chain(context).pluck('cropcode').uniq().map(function(cropcode){
return {name:cropcode, label:cropcode, data_value:cropcode, display:{text:cropcode}};
}).value()</t>
  </si>
  <si>
    <t>linked_3_14_1</t>
  </si>
  <si>
    <t>quest3_14_1</t>
  </si>
  <si>
    <t>linked_3_14_1_update</t>
  </si>
  <si>
    <t>quest3_14_1_update</t>
  </si>
  <si>
    <t>linked_3_14_2</t>
  </si>
  <si>
    <t>linked_3_14_2_update</t>
  </si>
  <si>
    <t>linked_3_15_1</t>
  </si>
  <si>
    <t>quest3_15_1</t>
  </si>
  <si>
    <t>linked_3_15_1_update</t>
  </si>
  <si>
    <t>quest3_15_1_update</t>
  </si>
  <si>
    <t>linked_crops_16_4</t>
  </si>
  <si>
    <t>quest3_16_4</t>
  </si>
  <si>
    <t>landrentedyesno</t>
  </si>
  <si>
    <t>3. No</t>
  </si>
  <si>
    <t>typeofrent</t>
  </si>
  <si>
    <t>1. Rent only</t>
  </si>
  <si>
    <t>2. Sharecropping</t>
  </si>
  <si>
    <t>3.Both rent and sharecropping</t>
  </si>
  <si>
    <t>98. Don't know</t>
  </si>
  <si>
    <t xml:space="preserve">Interviewer Name </t>
  </si>
  <si>
    <t>Interviewer Number</t>
  </si>
  <si>
    <t>Supervisor Name</t>
  </si>
  <si>
    <t xml:space="preserve">Supervisor Number </t>
  </si>
  <si>
    <t>First visit date</t>
  </si>
  <si>
    <t>First visit result of visit</t>
  </si>
  <si>
    <t>Second visit date</t>
  </si>
  <si>
    <t>Second visit result of visit</t>
  </si>
  <si>
    <t>Third visit date</t>
  </si>
  <si>
    <t>Third visit result of visit</t>
  </si>
  <si>
    <t>GPS: Record GPS coordinates</t>
  </si>
  <si>
    <t>Select new Governorate:</t>
  </si>
  <si>
    <t>Select new Kism:</t>
  </si>
  <si>
    <t>Select new Shyakha:</t>
  </si>
  <si>
    <t>New street name</t>
  </si>
  <si>
    <t>New road number</t>
  </si>
  <si>
    <t>New house owner</t>
  </si>
  <si>
    <t>New dwelling type</t>
  </si>
  <si>
    <t>Other notes to locate</t>
  </si>
  <si>
    <t xml:space="preserve">New telephone number </t>
  </si>
  <si>
    <t>What is the family's type of housing?</t>
  </si>
  <si>
    <t>What is the material of the floor?</t>
  </si>
  <si>
    <t>What is the material of the roof?</t>
  </si>
  <si>
    <t>What is the total area inside of your dwelling unit in square meters?</t>
  </si>
  <si>
    <t>How many rooms are inside the house?</t>
  </si>
  <si>
    <t>What type of ownership do you have of your dwelling?</t>
  </si>
  <si>
    <t>How much do you pay in rent each month?</t>
  </si>
  <si>
    <t>What is the main source of drinking water supply?</t>
  </si>
  <si>
    <t>What is the main source of the water used for utility?</t>
  </si>
  <si>
    <t>What is the primary source of lighting?</t>
  </si>
  <si>
    <t>What is the primary energy source for cooking?</t>
  </si>
  <si>
    <t>What is the primary energy source for heating water?</t>
  </si>
  <si>
    <t>What type of sanitation facilities does your family use?</t>
  </si>
  <si>
    <t>What is your sewage system?</t>
  </si>
  <si>
    <t>What is the main method for garbage disposal?</t>
  </si>
  <si>
    <t xml:space="preserve">Do you have access to internet at home?
</t>
  </si>
  <si>
    <t>Does your family own any of the following items?</t>
  </si>
  <si>
    <t>default</t>
  </si>
  <si>
    <t>1_0_statistical_identification</t>
  </si>
  <si>
    <t>Edit members information</t>
  </si>
  <si>
    <t>q11</t>
  </si>
  <si>
    <t>q12</t>
  </si>
  <si>
    <t>q10</t>
  </si>
  <si>
    <t>This is a refresher household</t>
  </si>
  <si>
    <t>q100_q1</t>
  </si>
  <si>
    <t>Question #</t>
  </si>
  <si>
    <t>Question origin text ENGLISH</t>
  </si>
  <si>
    <t>Question origin text ARABIC</t>
  </si>
  <si>
    <t>Source/Skips</t>
  </si>
  <si>
    <t>Responses Arabic</t>
  </si>
  <si>
    <t>Responses ENGLISH</t>
  </si>
  <si>
    <t xml:space="preserve">1. الأسرة موجودة </t>
  </si>
  <si>
    <t xml:space="preserve">2. لم يتم العثور علي الأسرة </t>
  </si>
  <si>
    <t>6.  انتقلت بأكملها الى مكان غير معلوم</t>
  </si>
  <si>
    <t xml:space="preserve">7. غادرت البلاد </t>
  </si>
  <si>
    <t xml:space="preserve">8. الاسرة توفت بالكامل </t>
  </si>
  <si>
    <t>Formula</t>
  </si>
  <si>
    <t>Typed</t>
  </si>
  <si>
    <t>finalize</t>
  </si>
  <si>
    <t>indicator for refresher HH</t>
  </si>
  <si>
    <t>An Introduction to Households from ELMPS 2012:
The Central Agency for Public Mobilization and Statistics, in co-operation with the Economic Research Forum has successfully conducted in 2012 a labor market survey using a random sample in the Arab Republic of Egypt. This survey aimed at analyzing the characteristics of the Egyptian labor market. Your household was part of that random sample in 2012. Currently, in 2018, we are carrying out a follow-up survey to the same households that we have interviewed in 2012, in addition to a new refresher sample to be able to analyze the evolution of the labor market in Egypt over time and hence develop relevant research and policies to improve working and workers’ conditions in Egypt. Your co-operation would therefore be crucial to the success of this survey. Please note that your personal information will remain confidential by force of law and that the information provided is exclusively for scientific research purposes.</t>
  </si>
  <si>
    <t>An Introduction to New Sample’s Households:
The Central Agency for Public Mobilization and Statistics, in co-operation with the Economic Research Forum is carrying out a labor market survey using a random sample 
in the Arab Republic of Egypt. Your household was selected within this random sample to participate in the survey. This survey aims at analyzing the evolution of the labor market in Egypt over time and hence develop relevant research and policies to improve working and workers’ conditions in Egypt. Your co-operation would therefore be crucial 
to the success of this survey. Please note that your personal information will remain confidential by force of law and that the information provided is exclusively for scientific research purposes.</t>
  </si>
  <si>
    <t xml:space="preserve">
To All Households:
If you agree to participate in the survey, we shall be asking you questions about your education – work experience – migration and work abroad – female’s employment – income and all other economic activities. The interview will take about 2 hours and might need more than one visit.</t>
  </si>
  <si>
    <t xml:space="preserve">Interviewer Name to verify consent </t>
  </si>
  <si>
    <t>Kindly accept our invitation to participate in the survey.</t>
  </si>
  <si>
    <t>Does the household have updates?</t>
  </si>
  <si>
    <t>display.hide_add_instance</t>
  </si>
  <si>
    <t>display.hide_delete_button</t>
  </si>
  <si>
    <t>async_assign_count</t>
  </si>
  <si>
    <t>roster_2012_count</t>
  </si>
  <si>
    <t>fieldName</t>
  </si>
  <si>
    <t>''</t>
  </si>
  <si>
    <t>zcheck_roster_2012</t>
  </si>
  <si>
    <t>zcheck_1</t>
  </si>
  <si>
    <t>roster_2012_still</t>
  </si>
  <si>
    <t>zcheck_roster_still</t>
  </si>
  <si>
    <t>zcheck_2</t>
  </si>
  <si>
    <t>Need to finalize all individuals from 2012 before continuing</t>
  </si>
  <si>
    <t>Needs to be at least one individual from 2012 present, otherwise change result of visit</t>
  </si>
  <si>
    <t>zcheck_roster_2018</t>
  </si>
  <si>
    <t>roster_2018_count</t>
  </si>
  <si>
    <t>How many individuals are in the household?</t>
  </si>
  <si>
    <t>Name of the responding individual:</t>
  </si>
  <si>
    <t>zcheck_3</t>
  </si>
  <si>
    <t>Need to finalize all individuals from 2018 before continuing</t>
  </si>
  <si>
    <t xml:space="preserve">Other: </t>
  </si>
  <si>
    <t>آخر</t>
  </si>
  <si>
    <r>
      <t xml:space="preserve">6. </t>
    </r>
    <r>
      <rPr>
        <sz val="11"/>
        <color theme="1"/>
        <rFont val="Arial"/>
        <family val="2"/>
        <charset val="204"/>
      </rPr>
      <t>لايوجد</t>
    </r>
    <r>
      <rPr>
        <sz val="11"/>
        <color theme="1"/>
        <rFont val="Calibri"/>
        <family val="2"/>
        <scheme val="minor"/>
      </rPr>
      <t xml:space="preserve"> </t>
    </r>
    <r>
      <rPr>
        <sz val="11"/>
        <color theme="1"/>
        <rFont val="Arial"/>
        <family val="2"/>
        <charset val="204"/>
      </rPr>
      <t>مرحاض</t>
    </r>
  </si>
  <si>
    <r>
      <t xml:space="preserve">3. </t>
    </r>
    <r>
      <rPr>
        <sz val="11"/>
        <color theme="1"/>
        <rFont val="Arial"/>
        <family val="2"/>
        <charset val="204"/>
      </rPr>
      <t>مرحاض</t>
    </r>
    <r>
      <rPr>
        <sz val="11"/>
        <color theme="1"/>
        <rFont val="Calibri"/>
        <family val="2"/>
        <scheme val="minor"/>
      </rPr>
      <t xml:space="preserve"> </t>
    </r>
    <r>
      <rPr>
        <sz val="11"/>
        <color theme="1"/>
        <rFont val="Arial"/>
        <family val="2"/>
        <charset val="204"/>
      </rPr>
      <t>مشترك</t>
    </r>
    <r>
      <rPr>
        <sz val="11"/>
        <color theme="1"/>
        <rFont val="Calibri"/>
        <family val="2"/>
        <scheme val="minor"/>
      </rPr>
      <t xml:space="preserve"> </t>
    </r>
    <r>
      <rPr>
        <sz val="11"/>
        <color theme="1"/>
        <rFont val="Arial"/>
        <family val="2"/>
        <charset val="204"/>
      </rPr>
      <t>داخل</t>
    </r>
    <r>
      <rPr>
        <sz val="11"/>
        <color theme="1"/>
        <rFont val="Calibri"/>
        <family val="2"/>
        <scheme val="minor"/>
      </rPr>
      <t xml:space="preserve"> </t>
    </r>
    <r>
      <rPr>
        <sz val="11"/>
        <color theme="1"/>
        <rFont val="Arial"/>
        <family val="2"/>
        <charset val="204"/>
      </rPr>
      <t>المبني</t>
    </r>
    <r>
      <rPr>
        <sz val="11"/>
        <color theme="1"/>
        <rFont val="Calibri"/>
        <family val="2"/>
        <scheme val="minor"/>
      </rPr>
      <t xml:space="preserve"> </t>
    </r>
    <r>
      <rPr>
        <sz val="11"/>
        <color theme="1"/>
        <rFont val="Arial"/>
        <family val="2"/>
        <charset val="204"/>
      </rPr>
      <t>متصل</t>
    </r>
    <r>
      <rPr>
        <sz val="11"/>
        <color theme="1"/>
        <rFont val="Calibri"/>
        <family val="2"/>
        <scheme val="minor"/>
      </rPr>
      <t xml:space="preserve"> </t>
    </r>
    <r>
      <rPr>
        <sz val="11"/>
        <color theme="1"/>
        <rFont val="Arial"/>
        <family val="2"/>
        <charset val="204"/>
      </rPr>
      <t>بشبكة</t>
    </r>
    <r>
      <rPr>
        <sz val="11"/>
        <color theme="1"/>
        <rFont val="Calibri"/>
        <family val="2"/>
        <scheme val="minor"/>
      </rPr>
      <t xml:space="preserve"> </t>
    </r>
    <r>
      <rPr>
        <sz val="11"/>
        <color theme="1"/>
        <rFont val="Arial"/>
        <family val="2"/>
        <charset val="204"/>
      </rPr>
      <t>مجاري</t>
    </r>
  </si>
  <si>
    <t xml:space="preserve">3. الاتصال الهاتفي  - من خلال التليفون </t>
  </si>
  <si>
    <t>q300</t>
  </si>
  <si>
    <t>valid_overall</t>
  </si>
  <si>
    <t>assign('valid_overall',0)</t>
  </si>
  <si>
    <t>assign('valid_overall',1)</t>
  </si>
  <si>
    <t>zcheck_4</t>
  </si>
  <si>
    <r>
      <t xml:space="preserve">What is the material of the </t>
    </r>
    <r>
      <rPr>
        <sz val="12"/>
        <rFont val="Calibri"/>
        <family val="2"/>
        <scheme val="minor"/>
      </rPr>
      <t>external</t>
    </r>
    <r>
      <rPr>
        <sz val="11"/>
        <rFont val="Calibri"/>
        <family val="2"/>
        <scheme val="minor"/>
      </rPr>
      <t xml:space="preserve"> walls?</t>
    </r>
  </si>
  <si>
    <t xml:space="preserve">1. Yes
2. No
98. Don’t know
</t>
  </si>
  <si>
    <t>ثلاجة</t>
  </si>
  <si>
    <t>air conditioner</t>
  </si>
  <si>
    <t xml:space="preserve"> data('valid_overall') == 1</t>
  </si>
  <si>
    <t>q301</t>
  </si>
  <si>
    <t>[roster]</t>
  </si>
  <si>
    <t>zcheck_6</t>
  </si>
  <si>
    <t>quest3_14_2</t>
  </si>
  <si>
    <t>quest3_14_2_update</t>
  </si>
  <si>
    <t>async_assign_text_value</t>
  </si>
  <si>
    <t>string</t>
  </si>
  <si>
    <t>roster_2018_update_count_1</t>
  </si>
  <si>
    <t>roster_2018_update_count_2</t>
  </si>
  <si>
    <t>zcheck_roster_2018_update_1</t>
  </si>
  <si>
    <t>zcheck_roster_2018_update_2</t>
  </si>
  <si>
    <t>zcheck_7</t>
  </si>
  <si>
    <t xml:space="preserve">Does the household employ any help? </t>
  </si>
  <si>
    <t>Number of people employed:</t>
  </si>
  <si>
    <t>Add the individuals your household employs (up to 5 people)</t>
  </si>
  <si>
    <t xml:space="preserve"> Length of trip </t>
  </si>
  <si>
    <t xml:space="preserve">What is the number of people who sent transfers? </t>
  </si>
  <si>
    <t>If no (2) --&gt; section 14.3</t>
  </si>
  <si>
    <t>Q#s</t>
  </si>
  <si>
    <t>A migrant is any one who was in the household for at least 6 months before he or she travelled. (Migrants must be ages 15-98)</t>
  </si>
  <si>
    <t xml:space="preserve">What is the number of household members, 15 years of age or above, present abroad? </t>
  </si>
  <si>
    <t>If no (2) --&gt; section 14.2</t>
  </si>
  <si>
    <t xml:space="preserve">Is there any household member who is currently working or living abroad? </t>
  </si>
  <si>
    <t>Food smart card</t>
  </si>
  <si>
    <t>Income from rent (buildings, land, etc.)</t>
  </si>
  <si>
    <t>Assistance from non-profit and charitable organizations</t>
  </si>
  <si>
    <t>Other assistance (not Karama or Takaful) from the Ministry of Social Solidarity</t>
  </si>
  <si>
    <t>Takaful</t>
  </si>
  <si>
    <t>Normal pension</t>
  </si>
  <si>
    <t xml:space="preserve">Edit information about the enterprises: </t>
  </si>
  <si>
    <t xml:space="preserve">Describe the enterprises: </t>
  </si>
  <si>
    <t>What is the number of the household enterprises?</t>
  </si>
  <si>
    <t>Does any member of the family own and manage or work in non-agricultural projects or private activities that aim to produce a service or a good for sale?</t>
  </si>
  <si>
    <t>Must be 0-100.</t>
  </si>
  <si>
    <t>What's the type of rent for the rented plot (from others)?</t>
  </si>
  <si>
    <t>decimal</t>
  </si>
  <si>
    <t>Fedan</t>
  </si>
  <si>
    <t>Kirat</t>
  </si>
  <si>
    <t>How large was the rented land (from others) in the last 12 months?</t>
  </si>
  <si>
    <t>If 2 --&gt; next section</t>
  </si>
  <si>
    <t>Value from sharecropping (in pound):</t>
  </si>
  <si>
    <t xml:space="preserve">Value from renting (in pound): </t>
  </si>
  <si>
    <t>How much land was rented out in total rent in the last 12 months?</t>
  </si>
  <si>
    <t>Was any land rented out in the last 12 months?</t>
  </si>
  <si>
    <t>How much did you receive by selling that land? (including payment in kind)?</t>
  </si>
  <si>
    <t>How large was the land sold?</t>
  </si>
  <si>
    <t>Was any land sold in the last 12 months?</t>
  </si>
  <si>
    <t>How large of the bought, gifted, or inherited lands?</t>
  </si>
  <si>
    <t>Was any land bought, gifted, or inherited by the household in the last 12 months?</t>
  </si>
  <si>
    <t>How large is the land owned by the household?</t>
  </si>
  <si>
    <t>Interviewer: Aggregate owned lands in one item. Rented land (to others) is considered part of owned land.</t>
  </si>
  <si>
    <t>Must be 1-99.</t>
  </si>
  <si>
    <t xml:space="preserve">integer </t>
  </si>
  <si>
    <t>How many plots of land does the household own?</t>
  </si>
  <si>
    <t>Does any member of the household own any land?</t>
  </si>
  <si>
    <t>Does any member of the household own or rent any land (including land outside this area)?</t>
  </si>
  <si>
    <t>[sub-form]</t>
  </si>
  <si>
    <t>help_count</t>
  </si>
  <si>
    <t>help_count_finalized</t>
  </si>
  <si>
    <t>Need to complete all employees (for up to 5)</t>
  </si>
  <si>
    <t>zcheck_8</t>
  </si>
  <si>
    <t>1_0</t>
  </si>
  <si>
    <t>1_4</t>
  </si>
  <si>
    <t xml:space="preserve"> </t>
  </si>
  <si>
    <t>in minutes 
998 if don't know</t>
  </si>
  <si>
    <r>
      <rPr>
        <sz val="11"/>
        <color theme="1"/>
        <rFont val="Arial"/>
        <family val="2"/>
        <charset val="204"/>
      </rPr>
      <t>في</t>
    </r>
    <r>
      <rPr>
        <sz val="11"/>
        <color theme="1"/>
        <rFont val="Calibri"/>
        <family val="2"/>
        <scheme val="minor"/>
      </rPr>
      <t xml:space="preserve"> </t>
    </r>
    <r>
      <rPr>
        <sz val="11"/>
        <color theme="1"/>
        <rFont val="Arial"/>
        <family val="2"/>
        <charset val="204"/>
      </rPr>
      <t>دقائق</t>
    </r>
    <r>
      <rPr>
        <sz val="11"/>
        <color theme="1"/>
        <rFont val="Calibri"/>
        <family val="2"/>
        <scheme val="minor"/>
      </rPr>
      <t xml:space="preserve">
998 </t>
    </r>
    <r>
      <rPr>
        <sz val="11"/>
        <color theme="1"/>
        <rFont val="Arial"/>
        <family val="2"/>
        <charset val="204"/>
      </rPr>
      <t>لا</t>
    </r>
    <r>
      <rPr>
        <sz val="11"/>
        <color theme="1"/>
        <rFont val="Calibri"/>
        <family val="2"/>
        <scheme val="minor"/>
      </rPr>
      <t xml:space="preserve"> </t>
    </r>
    <r>
      <rPr>
        <sz val="11"/>
        <color theme="1"/>
        <rFont val="Arial"/>
        <family val="2"/>
        <charset val="204"/>
      </rPr>
      <t>أعرف</t>
    </r>
  </si>
  <si>
    <t>1.Yes, total rent of some total rent and some shared rent</t>
  </si>
  <si>
    <t>2. Yes, only shared rent</t>
  </si>
  <si>
    <t>Transportation</t>
  </si>
  <si>
    <t>zcheck_9</t>
  </si>
  <si>
    <t>zcheck_10</t>
  </si>
  <si>
    <t>16_1_Agri_Assets_Land</t>
  </si>
  <si>
    <t>do section 16_1_Agri_Assets_Land</t>
  </si>
  <si>
    <t>16.1 Agriculture Assets: Lands</t>
  </si>
  <si>
    <t>Does any member of your household currently own any livestock (animals)?</t>
  </si>
  <si>
    <t>If 2--&gt; next section</t>
  </si>
  <si>
    <t xml:space="preserve"> Cows</t>
  </si>
  <si>
    <t xml:space="preserve"> Poultry</t>
  </si>
  <si>
    <t xml:space="preserve"> Goats</t>
  </si>
  <si>
    <t xml:space="preserve"> Sheep</t>
  </si>
  <si>
    <t xml:space="preserve"> Camels</t>
  </si>
  <si>
    <t>Donkeys/Mules</t>
  </si>
  <si>
    <t xml:space="preserve"> Horses</t>
  </si>
  <si>
    <t xml:space="preserve"> Buffaloes</t>
  </si>
  <si>
    <t xml:space="preserve"> Other animals</t>
  </si>
  <si>
    <t>Does the household live in the mother village or a hamlet?</t>
  </si>
  <si>
    <t>Does the household live in an urban or rural area?</t>
  </si>
  <si>
    <t>urban_rural</t>
  </si>
  <si>
    <t>village_hamlet</t>
  </si>
  <si>
    <t>Household No. -- {{data.q100}}</t>
  </si>
  <si>
    <t>الرقم التعريفي للأسرة --{{data.q100}}</t>
  </si>
  <si>
    <t>(data('valid_overall') == 1)</t>
  </si>
  <si>
    <t>3: استمارة الهجرة الحالية والتحويلات والأنشطة الأسرية (الزراعية وغير الزراعية)</t>
  </si>
  <si>
    <t>3: Current Migration, Remittances, and Family Activities (Agricultural and Non-Farm)</t>
  </si>
  <si>
    <t>14. 1: Characteristics of family members abroad</t>
  </si>
  <si>
    <r>
      <rPr>
        <sz val="11"/>
        <color theme="1"/>
        <rFont val="Arial"/>
        <family val="2"/>
        <charset val="204"/>
      </rPr>
      <t>هل</t>
    </r>
    <r>
      <rPr>
        <sz val="11"/>
        <color theme="1"/>
        <rFont val="Calibri"/>
        <family val="2"/>
        <scheme val="minor"/>
      </rPr>
      <t xml:space="preserve"> </t>
    </r>
    <r>
      <rPr>
        <sz val="11"/>
        <color theme="1"/>
        <rFont val="Arial"/>
        <family val="2"/>
        <charset val="204"/>
      </rPr>
      <t>يعمل</t>
    </r>
    <r>
      <rPr>
        <sz val="11"/>
        <color theme="1"/>
        <rFont val="Calibri"/>
        <family val="2"/>
        <scheme val="minor"/>
      </rPr>
      <t xml:space="preserve"> </t>
    </r>
    <r>
      <rPr>
        <sz val="11"/>
        <color theme="1"/>
        <rFont val="Arial"/>
        <family val="2"/>
        <charset val="204"/>
      </rPr>
      <t>أو</t>
    </r>
    <r>
      <rPr>
        <sz val="11"/>
        <color theme="1"/>
        <rFont val="Calibri"/>
        <family val="2"/>
        <scheme val="minor"/>
      </rPr>
      <t xml:space="preserve"> </t>
    </r>
    <r>
      <rPr>
        <sz val="11"/>
        <color theme="1"/>
        <rFont val="Arial"/>
        <family val="2"/>
        <charset val="204"/>
      </rPr>
      <t>يقيم</t>
    </r>
    <r>
      <rPr>
        <sz val="11"/>
        <color theme="1"/>
        <rFont val="Calibri"/>
        <family val="2"/>
        <scheme val="minor"/>
      </rPr>
      <t xml:space="preserve"> </t>
    </r>
    <r>
      <rPr>
        <sz val="11"/>
        <color theme="1"/>
        <rFont val="Arial"/>
        <family val="2"/>
        <charset val="204"/>
      </rPr>
      <t>أيّ</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أفراد</t>
    </r>
    <r>
      <rPr>
        <sz val="11"/>
        <color theme="1"/>
        <rFont val="Calibri"/>
        <family val="2"/>
        <scheme val="minor"/>
      </rPr>
      <t xml:space="preserve"> </t>
    </r>
    <r>
      <rPr>
        <sz val="11"/>
        <color theme="1"/>
        <rFont val="Arial"/>
        <family val="2"/>
        <charset val="204"/>
      </rPr>
      <t>الأسرة</t>
    </r>
    <r>
      <rPr>
        <sz val="11"/>
        <color theme="1"/>
        <rFont val="Calibri"/>
        <family val="2"/>
        <scheme val="minor"/>
      </rPr>
      <t xml:space="preserve"> </t>
    </r>
    <r>
      <rPr>
        <sz val="11"/>
        <color theme="1"/>
        <rFont val="Arial"/>
        <family val="2"/>
        <charset val="204"/>
      </rPr>
      <t>بالخارج</t>
    </r>
    <r>
      <rPr>
        <sz val="11"/>
        <color theme="1"/>
        <rFont val="Calibri"/>
        <family val="2"/>
        <scheme val="minor"/>
      </rPr>
      <t xml:space="preserve"> </t>
    </r>
    <r>
      <rPr>
        <sz val="11"/>
        <color theme="1"/>
        <rFont val="Arial"/>
        <family val="2"/>
        <charset val="204"/>
      </rPr>
      <t>حاليا؟</t>
    </r>
  </si>
  <si>
    <t xml:space="preserve">Add household members who are currently living abroad who are 15 years of age or older: </t>
  </si>
  <si>
    <t xml:space="preserve">Edit household members who are currently living abroad who are 15 years of age or older: </t>
  </si>
  <si>
    <r>
      <rPr>
        <sz val="11"/>
        <color theme="1"/>
        <rFont val="Arial"/>
        <family val="2"/>
        <charset val="204"/>
      </rPr>
      <t>تحتاج</t>
    </r>
    <r>
      <rPr>
        <sz val="11"/>
        <color theme="1"/>
        <rFont val="Calibri"/>
        <family val="2"/>
        <scheme val="minor"/>
      </rPr>
      <t xml:space="preserve"> </t>
    </r>
    <r>
      <rPr>
        <sz val="11"/>
        <color theme="1"/>
        <rFont val="Arial"/>
        <family val="2"/>
        <charset val="204"/>
      </rPr>
      <t>إلى</t>
    </r>
    <r>
      <rPr>
        <sz val="11"/>
        <color theme="1"/>
        <rFont val="Calibri"/>
        <family val="2"/>
        <scheme val="minor"/>
      </rPr>
      <t xml:space="preserve"> </t>
    </r>
    <r>
      <rPr>
        <sz val="11"/>
        <color theme="1"/>
        <rFont val="Arial"/>
        <family val="2"/>
        <charset val="204"/>
      </rPr>
      <t>إكمال</t>
    </r>
    <r>
      <rPr>
        <sz val="11"/>
        <color theme="1"/>
        <rFont val="Calibri"/>
        <family val="2"/>
        <scheme val="minor"/>
      </rPr>
      <t xml:space="preserve"> </t>
    </r>
    <r>
      <rPr>
        <sz val="11"/>
        <color theme="1"/>
        <rFont val="Arial"/>
        <family val="2"/>
        <charset val="204"/>
      </rPr>
      <t>جميع</t>
    </r>
    <r>
      <rPr>
        <sz val="11"/>
        <color theme="1"/>
        <rFont val="Calibri"/>
        <family val="2"/>
        <scheme val="minor"/>
      </rPr>
      <t xml:space="preserve"> </t>
    </r>
    <r>
      <rPr>
        <sz val="11"/>
        <color theme="1"/>
        <rFont val="Arial"/>
        <family val="2"/>
        <charset val="204"/>
      </rPr>
      <t>المسافرين</t>
    </r>
  </si>
  <si>
    <t>Need to complete all travelers</t>
  </si>
  <si>
    <t>During the past twelve months has your household or any of its members received any money or goods from persons who are not members of your household (either from inside or outside the country) or who are former members of your household? For example: relatives living elsewhere, child expenses, maintenance, help from friends or neighbors</t>
  </si>
  <si>
    <t>Add donors</t>
  </si>
  <si>
    <t>[linked table]</t>
  </si>
  <si>
    <t>Edit donors</t>
  </si>
  <si>
    <t>zhelp_count_1</t>
  </si>
  <si>
    <t>zhelp_count_2</t>
  </si>
  <si>
    <t>13.0: Statistical identification</t>
  </si>
  <si>
    <t>14.2 Transfers from individuals</t>
  </si>
  <si>
    <t>[ data('q100') , data('q13001') ]</t>
  </si>
  <si>
    <t>zdonor_count</t>
  </si>
  <si>
    <t>zdonor_count_finalized</t>
  </si>
  <si>
    <t>zdonor_count_1</t>
  </si>
  <si>
    <t>zdonor_count_2</t>
  </si>
  <si>
    <t>zmigrant_count</t>
  </si>
  <si>
    <t>zmigrant_count_finalized</t>
  </si>
  <si>
    <t>zmigrant_count_1</t>
  </si>
  <si>
    <t>zmigrant_count_2</t>
  </si>
  <si>
    <t>zhas_migrants</t>
  </si>
  <si>
    <t>assign('zhas_migrants',0)</t>
  </si>
  <si>
    <t>assign('zhas_migrants',1)</t>
  </si>
  <si>
    <t>A migrant is any one who was in the household for at least 6 months before he or she travelled -- minimum age 15</t>
  </si>
  <si>
    <t>Need to complete all donors</t>
  </si>
  <si>
    <t>تحتاج إلى إكمال جميع  المسافر مانحين</t>
  </si>
  <si>
    <t>q14301_[#]</t>
  </si>
  <si>
    <t>Over the past twelve months, did the household have any family members receive any transfers from [source]?</t>
  </si>
  <si>
    <t xml:space="preserve">1. Yes
2. No
</t>
  </si>
  <si>
    <t xml:space="preserve">1. نعم
2. لا
 </t>
  </si>
  <si>
    <t>What is its value per month on average [source]?</t>
  </si>
  <si>
    <t>q14302_[#]</t>
  </si>
  <si>
    <t>If 2--&gt; next source</t>
  </si>
  <si>
    <t>q14303_[#]</t>
  </si>
  <si>
    <t>Who receives [source]? First member</t>
  </si>
  <si>
    <t>q14304_[#]a</t>
  </si>
  <si>
    <t>q14305_[#]a</t>
  </si>
  <si>
    <t>Does another member receive [source]?</t>
  </si>
  <si>
    <t>q14304_[#]b</t>
  </si>
  <si>
    <t>q14305_[#]b</t>
  </si>
  <si>
    <t>Who receives [source]? Second member</t>
  </si>
  <si>
    <t>Who receives [source]? Third member</t>
  </si>
  <si>
    <t>Karama</t>
  </si>
  <si>
    <t>Income from interest or profit on financial investments</t>
  </si>
  <si>
    <t>Any other assistance</t>
  </si>
  <si>
    <t>المعاش العادي</t>
  </si>
  <si>
    <t>الدخل من الإيجار (المباني والأراضي وغيرها)</t>
  </si>
  <si>
    <t>بطاقة الغذاء الذكية</t>
  </si>
  <si>
    <t>"Value in pounds: (*If don't know, write 99998. 
If the individual does not want to answer, first ask for an approximate amount. If the individual is unwilling to give an approximate amount, use 99996.)"</t>
  </si>
  <si>
    <t>q14304_[#]c</t>
  </si>
  <si>
    <t>Cannot pick same member twice</t>
  </si>
  <si>
    <t>roster_line_q14304_1a</t>
  </si>
  <si>
    <t>roster_line_q14304_1b</t>
  </si>
  <si>
    <t>roster_line_q14304_1c</t>
  </si>
  <si>
    <t>roster_line_q14304_2a</t>
  </si>
  <si>
    <t>roster_line_q14304_2b</t>
  </si>
  <si>
    <t>roster_line_q14304_2c</t>
  </si>
  <si>
    <t>roster_line_q14304_3a</t>
  </si>
  <si>
    <t>roster_line_q14304_3b</t>
  </si>
  <si>
    <t>roster_line_q14304_3c</t>
  </si>
  <si>
    <t>roster_line_q14304_4a</t>
  </si>
  <si>
    <t>roster_line_q14304_4b</t>
  </si>
  <si>
    <t>roster_line_q14304_4c</t>
  </si>
  <si>
    <t>roster_line_q14304_5a</t>
  </si>
  <si>
    <t>roster_line_q14304_5b</t>
  </si>
  <si>
    <t>roster_line_q14304_5c</t>
  </si>
  <si>
    <t>roster_line_q14304_6a</t>
  </si>
  <si>
    <t>roster_line_q14304_6b</t>
  </si>
  <si>
    <t>roster_line_q14304_6c</t>
  </si>
  <si>
    <t>roster_line_q14304_7a</t>
  </si>
  <si>
    <t>roster_line_q14304_7b</t>
  </si>
  <si>
    <t>roster_line_q14304_7c</t>
  </si>
  <si>
    <t>roster_line_q14304_8a</t>
  </si>
  <si>
    <t>roster_line_q14304_8b</t>
  </si>
  <si>
    <t>roster_line_q14304_8c</t>
  </si>
  <si>
    <t>roster_line_q14304_9a</t>
  </si>
  <si>
    <t>roster_line_q14304_9b</t>
  </si>
  <si>
    <t>roster_line_q14304_9c</t>
  </si>
  <si>
    <t>roster_line_q14304_10a</t>
  </si>
  <si>
    <t>roster_line_q14304_10b</t>
  </si>
  <si>
    <t>roster_line_q14304_10c</t>
  </si>
  <si>
    <t xml:space="preserve">Does [source] accrue to a specific member of the household? </t>
  </si>
  <si>
    <t>data('valid_overall') == 1</t>
  </si>
  <si>
    <t>zenterprise_count_1</t>
  </si>
  <si>
    <t>zenterprise_count_2</t>
  </si>
  <si>
    <t>zenterprise_count</t>
  </si>
  <si>
    <t>zenterprise_count_finalized</t>
  </si>
  <si>
    <t>zcheck_11</t>
  </si>
  <si>
    <t>Chapter 16.5 Other agricultural income</t>
  </si>
  <si>
    <t>do section 16_5_Other_agri_income</t>
  </si>
  <si>
    <t>16_5_Other_agri_income</t>
  </si>
  <si>
    <t>16.5 Other agricultural income</t>
  </si>
  <si>
    <t>16_2_Livestock</t>
  </si>
  <si>
    <t>16.2 Agriculture Assets: Livestock/Poultry</t>
  </si>
  <si>
    <t>16_3_Capital_Equipment</t>
  </si>
  <si>
    <t>16.3 Agriculture Assets: Equipments</t>
  </si>
  <si>
    <t>16_4_Harvest_disposal_crops</t>
  </si>
  <si>
    <t>16.4 Agricultural Crops</t>
  </si>
  <si>
    <t>do section 16_2_Livestock</t>
  </si>
  <si>
    <t>do section 16_3_Capital_Equipment</t>
  </si>
  <si>
    <t>do section 16_4_Harvest_disposal_crops</t>
  </si>
  <si>
    <t>*If don't know, write 999998</t>
  </si>
  <si>
    <t>q100 = ? and _id = ?</t>
  </si>
  <si>
    <t>roster_line_q16205_1a</t>
  </si>
  <si>
    <t>roster_line_q16205_1b</t>
  </si>
  <si>
    <t>roster_line_q16205_1c</t>
  </si>
  <si>
    <t>Need to complete all enterprises</t>
  </si>
  <si>
    <t>2. No -----&gt; next animal</t>
  </si>
  <si>
    <t>How much does the owner recieve from the sharing? Percent:</t>
  </si>
  <si>
    <t>Must be 0-100. *Write 98 if don’t know</t>
  </si>
  <si>
    <t>Section 16.1 Agriculture Assets: Lands</t>
  </si>
  <si>
    <t>roster_line_q16205_2a</t>
  </si>
  <si>
    <t>roster_line_q16205_2b</t>
  </si>
  <si>
    <t>roster_line_q16205_2c</t>
  </si>
  <si>
    <t>roster_line_q16205_3a</t>
  </si>
  <si>
    <t>roster_line_q16205_3b</t>
  </si>
  <si>
    <t>roster_line_q16205_3c</t>
  </si>
  <si>
    <t>roster_line_q16205_4a</t>
  </si>
  <si>
    <t>roster_line_q16205_4b</t>
  </si>
  <si>
    <t>roster_line_q16205_4c</t>
  </si>
  <si>
    <t>roster_line_q16205_5a</t>
  </si>
  <si>
    <t>roster_line_q16205_5b</t>
  </si>
  <si>
    <t>roster_line_q16205_5c</t>
  </si>
  <si>
    <t>roster_line_q16205_6a</t>
  </si>
  <si>
    <t>roster_line_q16205_6b</t>
  </si>
  <si>
    <t>roster_line_q16205_6c</t>
  </si>
  <si>
    <t>roster_line_q16205_7a</t>
  </si>
  <si>
    <t>roster_line_q16205_7b</t>
  </si>
  <si>
    <t>roster_line_q16205_7c</t>
  </si>
  <si>
    <t>roster_line_q16205_8a</t>
  </si>
  <si>
    <t>roster_line_q16205_8b</t>
  </si>
  <si>
    <t>roster_line_q16205_8c</t>
  </si>
  <si>
    <t>roster_line_q16205_9a</t>
  </si>
  <si>
    <t>roster_line_q16205_9b</t>
  </si>
  <si>
    <t>roster_line_q16205_9c</t>
  </si>
  <si>
    <t xml:space="preserve">15.0 Household Non-Farm Activities </t>
  </si>
  <si>
    <r>
      <t xml:space="preserve"> 15.0 </t>
    </r>
    <r>
      <rPr>
        <sz val="11"/>
        <color rgb="FF000000"/>
        <rFont val="Arial"/>
        <family val="2"/>
        <charset val="204"/>
      </rPr>
      <t>الأنشطة</t>
    </r>
    <r>
      <rPr>
        <sz val="11"/>
        <color rgb="FF000000"/>
        <rFont val="Calibri"/>
        <family val="2"/>
        <scheme val="minor"/>
      </rPr>
      <t xml:space="preserve"> </t>
    </r>
    <r>
      <rPr>
        <sz val="11"/>
        <color rgb="FF000000"/>
        <rFont val="Arial"/>
        <family val="2"/>
        <charset val="204"/>
      </rPr>
      <t>الأسرية</t>
    </r>
    <r>
      <rPr>
        <sz val="11"/>
        <color rgb="FF000000"/>
        <rFont val="Calibri"/>
        <family val="2"/>
        <scheme val="minor"/>
      </rPr>
      <t xml:space="preserve"> </t>
    </r>
    <r>
      <rPr>
        <sz val="11"/>
        <color rgb="FF000000"/>
        <rFont val="Arial"/>
        <family val="2"/>
        <charset val="204"/>
      </rPr>
      <t>غير</t>
    </r>
    <r>
      <rPr>
        <sz val="11"/>
        <color rgb="FF000000"/>
        <rFont val="Calibri"/>
        <family val="2"/>
        <scheme val="minor"/>
      </rPr>
      <t xml:space="preserve"> </t>
    </r>
    <r>
      <rPr>
        <sz val="11"/>
        <color rgb="FF000000"/>
        <rFont val="Arial"/>
        <family val="2"/>
        <charset val="204"/>
      </rPr>
      <t>الزراعية</t>
    </r>
    <r>
      <rPr>
        <sz val="11"/>
        <color rgb="FF000000"/>
        <rFont val="Calibri"/>
        <family val="2"/>
        <scheme val="minor"/>
      </rPr>
      <t xml:space="preserve"> </t>
    </r>
  </si>
  <si>
    <t>If no, --&gt; chapter 16.1</t>
  </si>
  <si>
    <t>partition</t>
  </si>
  <si>
    <t>aspect</t>
  </si>
  <si>
    <t>key</t>
  </si>
  <si>
    <t>Table</t>
  </si>
  <si>
    <t>security</t>
  </si>
  <si>
    <t>HIDDEN</t>
  </si>
  <si>
    <t>1. Yes                     2. No ---------&gt; Next item</t>
  </si>
  <si>
    <t>large tractor (&gt;12 horse power)</t>
  </si>
  <si>
    <t>small tractor (&lt;12 horse power)</t>
  </si>
  <si>
    <t>machine pulled plow or harrower</t>
  </si>
  <si>
    <t>animal pulled plow</t>
  </si>
  <si>
    <t>drip irrigation system</t>
  </si>
  <si>
    <t>sprinkler</t>
  </si>
  <si>
    <t>mechanical water pump</t>
  </si>
  <si>
    <t>manually powered water pump</t>
  </si>
  <si>
    <t>motorized thresher</t>
  </si>
  <si>
    <t>hand thresher</t>
  </si>
  <si>
    <t>machine to process livestock feed</t>
  </si>
  <si>
    <t>motorized insecticide pump</t>
  </si>
  <si>
    <t>hand insecticide pump</t>
  </si>
  <si>
    <t>donkey cart</t>
  </si>
  <si>
    <t>small cart pulled by person</t>
  </si>
  <si>
    <t>poultry battery</t>
  </si>
  <si>
    <t>beehives</t>
  </si>
  <si>
    <t>Other equipment (specify)</t>
  </si>
  <si>
    <t>Answer as a percentage (0-100). *If share differs over items, record average share.</t>
  </si>
  <si>
    <t>Please specify what the other equipment is:</t>
  </si>
  <si>
    <t>97_other</t>
  </si>
  <si>
    <t>What was the value of the rental? (in pounds)</t>
  </si>
  <si>
    <t>What was the value of these sales? (in pounds)</t>
  </si>
  <si>
    <t xml:space="preserve">How much was paid? (including payment in kind). </t>
  </si>
  <si>
    <t>Section 16.3 Agriculture Assets: Equipments</t>
  </si>
  <si>
    <t>Section 16.4 Agricultural crops</t>
  </si>
  <si>
    <t>Preamble: Now I would like to ask some questions about all the crops that have been harvested from all HH's farms in the last 12 months.</t>
  </si>
  <si>
    <t>Has any member of the household harvested/produced any crops in the last year?</t>
  </si>
  <si>
    <t>How many types of crops has the household harvested/produced in the last year?</t>
  </si>
  <si>
    <t>Mention the crops that were harvested in the past 12 months?</t>
  </si>
  <si>
    <t>Edit crop information.</t>
  </si>
  <si>
    <t>zcrop_count</t>
  </si>
  <si>
    <t>zcrop_count_finalized</t>
  </si>
  <si>
    <t>zcrop_count_1</t>
  </si>
  <si>
    <t>zcrop_count_2</t>
  </si>
  <si>
    <t>zcheck_12</t>
  </si>
  <si>
    <t>linked_crops_16_4_update</t>
  </si>
  <si>
    <t>quest3_16_4_update</t>
  </si>
  <si>
    <t>If no (2) --&gt; section 16.5</t>
  </si>
  <si>
    <t>16_1</t>
  </si>
  <si>
    <t>Need to complete all crops</t>
  </si>
  <si>
    <t>q16205_1a_1</t>
  </si>
  <si>
    <t>q16205_1b_1</t>
  </si>
  <si>
    <t>q16205_1c_1</t>
  </si>
  <si>
    <t>q16205_2a_1</t>
  </si>
  <si>
    <t>q16205_2b_1</t>
  </si>
  <si>
    <t>q16205_2c_1</t>
  </si>
  <si>
    <t>q16205_3a_1</t>
  </si>
  <si>
    <t>q16205_3b_1</t>
  </si>
  <si>
    <t>q16205_3c_1</t>
  </si>
  <si>
    <t>q16205_4a_1</t>
  </si>
  <si>
    <t>q16205_4b_1</t>
  </si>
  <si>
    <t>q16205_4c_1</t>
  </si>
  <si>
    <t>q16205_5a_1</t>
  </si>
  <si>
    <t>q16205_5b_1</t>
  </si>
  <si>
    <t>q16205_5c_1</t>
  </si>
  <si>
    <t>q16205_6a_1</t>
  </si>
  <si>
    <t>q16205_6b_1</t>
  </si>
  <si>
    <t>q16205_6c_1</t>
  </si>
  <si>
    <t>q16205_7a_1</t>
  </si>
  <si>
    <t>q16205_7b_1</t>
  </si>
  <si>
    <t>q16205_7c_1</t>
  </si>
  <si>
    <t>q16205_8a_1</t>
  </si>
  <si>
    <t>q16205_8b_1</t>
  </si>
  <si>
    <t>q16205_8c_1</t>
  </si>
  <si>
    <t>q16205_9a_1</t>
  </si>
  <si>
    <t>q16205_9b_1</t>
  </si>
  <si>
    <t>q16205_9c_1</t>
  </si>
  <si>
    <t xml:space="preserve">How much did your household receive form this? (incl. Payment in kind). </t>
  </si>
  <si>
    <t>[ data('q100') , data('q16205_1a')  ]</t>
  </si>
  <si>
    <t>[ data('q100') , data('q16205_1b')  ]</t>
  </si>
  <si>
    <t>[ data('q100') , data('q16205_1c')  ]</t>
  </si>
  <si>
    <t>[ data('q100') , data('q16205_2a')  ]</t>
  </si>
  <si>
    <t>[ data('q100') , data('q16205_2b')  ]</t>
  </si>
  <si>
    <t>[ data('q100') , data('q16205_2c')  ]</t>
  </si>
  <si>
    <t>[ data('q100') , data('q16205_3a')  ]</t>
  </si>
  <si>
    <t>[ data('q100') , data('q16205_3b')  ]</t>
  </si>
  <si>
    <t>[ data('q100') , data('q16205_3c')  ]</t>
  </si>
  <si>
    <t>[ data('q100') , data('q16205_4a')  ]</t>
  </si>
  <si>
    <t>[ data('q100') , data('q16205_4b')  ]</t>
  </si>
  <si>
    <t>[ data('q100') , data('q16205_4c')  ]</t>
  </si>
  <si>
    <t>[ data('q100') , data('q16205_5a')  ]</t>
  </si>
  <si>
    <t>[ data('q100') , data('q16205_5b')  ]</t>
  </si>
  <si>
    <t>[ data('q100') , data('q16205_5c')  ]</t>
  </si>
  <si>
    <t>[ data('q100') , data('q16205_6a')  ]</t>
  </si>
  <si>
    <t>[ data('q100') , data('q16205_6b')  ]</t>
  </si>
  <si>
    <t>[ data('q100') , data('q16205_6c')  ]</t>
  </si>
  <si>
    <t>[ data('q100') , data('q16205_7a')  ]</t>
  </si>
  <si>
    <t>[ data('q100') , data('q16205_7b')  ]</t>
  </si>
  <si>
    <t>[ data('q100') , data('q16205_7c')  ]</t>
  </si>
  <si>
    <t>[ data('q100') , data('q16205_8a')  ]</t>
  </si>
  <si>
    <t>[ data('q100') , data('q16205_8b')  ]</t>
  </si>
  <si>
    <t>[ data('q100') , data('q16205_8c')  ]</t>
  </si>
  <si>
    <t>[ data('q100') , data('q16205_9a')  ]</t>
  </si>
  <si>
    <t>[ data('q100') , data('q16205_9b')  ]</t>
  </si>
  <si>
    <t>[ data('q100') , data('q16205_9c')  ]</t>
  </si>
  <si>
    <t>16 الأنشطة الزراعية</t>
  </si>
  <si>
    <t>16.1 الأصول الزراعية: الأراضي</t>
  </si>
  <si>
    <t>16.  Agricultural Activities</t>
  </si>
  <si>
    <t>فدان</t>
  </si>
  <si>
    <t>قيراط</t>
  </si>
  <si>
    <t>Value (in pound). Write 999998 if don’t know. Write 0 if gift or inherited</t>
  </si>
  <si>
    <r>
      <rPr>
        <sz val="11"/>
        <color theme="1"/>
        <rFont val="Arial"/>
        <family val="2"/>
        <charset val="204"/>
      </rPr>
      <t>ما</t>
    </r>
    <r>
      <rPr>
        <sz val="11"/>
        <color theme="1"/>
        <rFont val="Calibri"/>
        <family val="2"/>
        <scheme val="minor"/>
      </rPr>
      <t xml:space="preserve"> </t>
    </r>
    <r>
      <rPr>
        <sz val="11"/>
        <color theme="1"/>
        <rFont val="Arial"/>
        <family val="2"/>
        <charset val="204"/>
      </rPr>
      <t>هو</t>
    </r>
    <r>
      <rPr>
        <sz val="11"/>
        <color theme="1"/>
        <rFont val="Calibri"/>
        <family val="2"/>
        <scheme val="minor"/>
      </rPr>
      <t xml:space="preserve"> </t>
    </r>
    <r>
      <rPr>
        <sz val="11"/>
        <color theme="1"/>
        <rFont val="Arial"/>
        <family val="2"/>
        <charset val="204"/>
      </rPr>
      <t>المبلغ</t>
    </r>
    <r>
      <rPr>
        <sz val="11"/>
        <color theme="1"/>
        <rFont val="Calibri"/>
        <family val="2"/>
        <scheme val="minor"/>
      </rPr>
      <t xml:space="preserve"> </t>
    </r>
    <r>
      <rPr>
        <sz val="11"/>
        <color theme="1"/>
        <rFont val="Arial"/>
        <family val="2"/>
        <charset val="204"/>
      </rPr>
      <t>المدفوع</t>
    </r>
    <r>
      <rPr>
        <sz val="11"/>
        <color theme="1"/>
        <rFont val="Calibri"/>
        <family val="2"/>
        <scheme val="minor"/>
      </rPr>
      <t xml:space="preserve"> (</t>
    </r>
    <r>
      <rPr>
        <sz val="11"/>
        <color theme="1"/>
        <rFont val="Arial"/>
        <family val="2"/>
        <charset val="204"/>
      </rPr>
      <t>بما</t>
    </r>
    <r>
      <rPr>
        <sz val="11"/>
        <color theme="1"/>
        <rFont val="Calibri"/>
        <family val="2"/>
        <scheme val="minor"/>
      </rPr>
      <t xml:space="preserve"> </t>
    </r>
    <r>
      <rPr>
        <sz val="11"/>
        <color theme="1"/>
        <rFont val="Arial"/>
        <family val="2"/>
        <charset val="204"/>
      </rPr>
      <t>فيه</t>
    </r>
    <r>
      <rPr>
        <sz val="11"/>
        <color theme="1"/>
        <rFont val="Calibri"/>
        <family val="2"/>
        <scheme val="minor"/>
      </rPr>
      <t xml:space="preserve"> </t>
    </r>
    <r>
      <rPr>
        <sz val="11"/>
        <color theme="1"/>
        <rFont val="Arial"/>
        <family val="2"/>
        <charset val="204"/>
      </rPr>
      <t>أي</t>
    </r>
    <r>
      <rPr>
        <sz val="11"/>
        <color theme="1"/>
        <rFont val="Calibri"/>
        <family val="2"/>
        <scheme val="minor"/>
      </rPr>
      <t xml:space="preserve"> </t>
    </r>
    <r>
      <rPr>
        <sz val="11"/>
        <color theme="1"/>
        <rFont val="Arial"/>
        <family val="2"/>
        <charset val="204"/>
      </rPr>
      <t>مدفوعات</t>
    </r>
    <r>
      <rPr>
        <sz val="11"/>
        <color theme="1"/>
        <rFont val="Calibri"/>
        <family val="2"/>
        <scheme val="minor"/>
      </rPr>
      <t xml:space="preserve"> </t>
    </r>
    <r>
      <rPr>
        <sz val="11"/>
        <color theme="1"/>
        <rFont val="Arial"/>
        <family val="2"/>
        <charset val="204"/>
      </rPr>
      <t>عينية</t>
    </r>
    <r>
      <rPr>
        <sz val="11"/>
        <color theme="1"/>
        <rFont val="Calibri"/>
        <family val="2"/>
        <scheme val="minor"/>
      </rPr>
      <t>)</t>
    </r>
    <r>
      <rPr>
        <sz val="11"/>
        <color theme="1"/>
        <rFont val="Arial"/>
        <family val="2"/>
        <charset val="204"/>
      </rPr>
      <t>؟</t>
    </r>
  </si>
  <si>
    <r>
      <rPr>
        <sz val="11"/>
        <color theme="1"/>
        <rFont val="Arial"/>
        <family val="2"/>
        <charset val="204"/>
      </rPr>
      <t>ما</t>
    </r>
    <r>
      <rPr>
        <sz val="11"/>
        <color theme="1"/>
        <rFont val="Calibri"/>
        <family val="2"/>
        <scheme val="minor"/>
      </rPr>
      <t xml:space="preserve"> </t>
    </r>
    <r>
      <rPr>
        <sz val="11"/>
        <color theme="1"/>
        <rFont val="Arial"/>
        <family val="2"/>
        <charset val="204"/>
      </rPr>
      <t>مساحة</t>
    </r>
    <r>
      <rPr>
        <sz val="11"/>
        <color theme="1"/>
        <rFont val="Calibri"/>
        <family val="2"/>
        <scheme val="minor"/>
      </rPr>
      <t xml:space="preserve"> </t>
    </r>
    <r>
      <rPr>
        <sz val="11"/>
        <color theme="1"/>
        <rFont val="Arial"/>
        <family val="2"/>
        <charset val="204"/>
      </rPr>
      <t>الأراضي</t>
    </r>
    <r>
      <rPr>
        <sz val="11"/>
        <color theme="1"/>
        <rFont val="Calibri"/>
        <family val="2"/>
        <scheme val="minor"/>
      </rPr>
      <t xml:space="preserve"> </t>
    </r>
    <r>
      <rPr>
        <sz val="11"/>
        <color theme="1"/>
        <rFont val="Arial"/>
        <family val="2"/>
        <charset val="204"/>
      </rPr>
      <t>التي</t>
    </r>
    <r>
      <rPr>
        <sz val="11"/>
        <color theme="1"/>
        <rFont val="Calibri"/>
        <family val="2"/>
        <scheme val="minor"/>
      </rPr>
      <t xml:space="preserve"> </t>
    </r>
    <r>
      <rPr>
        <sz val="11"/>
        <color theme="1"/>
        <rFont val="Arial"/>
        <family val="2"/>
        <charset val="204"/>
      </rPr>
      <t>بيعت؟</t>
    </r>
  </si>
  <si>
    <r>
      <t xml:space="preserve">3. </t>
    </r>
    <r>
      <rPr>
        <sz val="11"/>
        <color theme="1"/>
        <rFont val="Arial"/>
        <family val="2"/>
        <charset val="204"/>
      </rPr>
      <t>لا</t>
    </r>
  </si>
  <si>
    <r>
      <rPr>
        <sz val="11"/>
        <color theme="1"/>
        <rFont val="Arial"/>
        <family val="2"/>
        <charset val="204"/>
      </rPr>
      <t>ما</t>
    </r>
    <r>
      <rPr>
        <sz val="11"/>
        <color theme="1"/>
        <rFont val="Calibri"/>
        <family val="2"/>
        <scheme val="minor"/>
      </rPr>
      <t xml:space="preserve"> </t>
    </r>
    <r>
      <rPr>
        <sz val="11"/>
        <color theme="1"/>
        <rFont val="Arial"/>
        <family val="2"/>
        <charset val="204"/>
      </rPr>
      <t>هو</t>
    </r>
    <r>
      <rPr>
        <sz val="11"/>
        <color theme="1"/>
        <rFont val="Calibri"/>
        <family val="2"/>
        <scheme val="minor"/>
      </rPr>
      <t xml:space="preserve"> </t>
    </r>
    <r>
      <rPr>
        <sz val="11"/>
        <color theme="1"/>
        <rFont val="Arial"/>
        <family val="2"/>
        <charset val="204"/>
      </rPr>
      <t>المبلغ</t>
    </r>
    <r>
      <rPr>
        <sz val="11"/>
        <color theme="1"/>
        <rFont val="Calibri"/>
        <family val="2"/>
        <scheme val="minor"/>
      </rPr>
      <t xml:space="preserve"> </t>
    </r>
    <r>
      <rPr>
        <sz val="11"/>
        <color theme="1"/>
        <rFont val="Arial"/>
        <family val="2"/>
        <charset val="204"/>
      </rPr>
      <t>الذي</t>
    </r>
    <r>
      <rPr>
        <sz val="11"/>
        <color theme="1"/>
        <rFont val="Calibri"/>
        <family val="2"/>
        <scheme val="minor"/>
      </rPr>
      <t xml:space="preserve"> </t>
    </r>
    <r>
      <rPr>
        <sz val="11"/>
        <color theme="1"/>
        <rFont val="Arial"/>
        <family val="2"/>
        <charset val="204"/>
      </rPr>
      <t>حصلت</t>
    </r>
    <r>
      <rPr>
        <sz val="11"/>
        <color theme="1"/>
        <rFont val="Calibri"/>
        <family val="2"/>
        <scheme val="minor"/>
      </rPr>
      <t xml:space="preserve"> </t>
    </r>
    <r>
      <rPr>
        <sz val="11"/>
        <color theme="1"/>
        <rFont val="Arial"/>
        <family val="2"/>
        <charset val="204"/>
      </rPr>
      <t>عليه</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بيع</t>
    </r>
    <r>
      <rPr>
        <sz val="11"/>
        <color theme="1"/>
        <rFont val="Calibri"/>
        <family val="2"/>
        <scheme val="minor"/>
      </rPr>
      <t xml:space="preserve"> </t>
    </r>
    <r>
      <rPr>
        <sz val="11"/>
        <color theme="1"/>
        <rFont val="Arial"/>
        <family val="2"/>
        <charset val="204"/>
      </rPr>
      <t>هذه</t>
    </r>
    <r>
      <rPr>
        <sz val="11"/>
        <color theme="1"/>
        <rFont val="Calibri"/>
        <family val="2"/>
        <scheme val="minor"/>
      </rPr>
      <t xml:space="preserve"> </t>
    </r>
    <r>
      <rPr>
        <sz val="11"/>
        <color theme="1"/>
        <rFont val="Arial"/>
        <family val="2"/>
        <charset val="204"/>
      </rPr>
      <t>الأراضي</t>
    </r>
    <r>
      <rPr>
        <sz val="11"/>
        <color theme="1"/>
        <rFont val="Calibri"/>
        <family val="2"/>
        <scheme val="minor"/>
      </rPr>
      <t xml:space="preserve"> (</t>
    </r>
    <r>
      <rPr>
        <sz val="11"/>
        <color theme="1"/>
        <rFont val="Arial"/>
        <family val="2"/>
        <charset val="204"/>
      </rPr>
      <t>بما</t>
    </r>
    <r>
      <rPr>
        <sz val="11"/>
        <color theme="1"/>
        <rFont val="Calibri"/>
        <family val="2"/>
        <scheme val="minor"/>
      </rPr>
      <t xml:space="preserve"> </t>
    </r>
    <r>
      <rPr>
        <sz val="11"/>
        <color theme="1"/>
        <rFont val="Arial"/>
        <family val="2"/>
        <charset val="204"/>
      </rPr>
      <t>فيه</t>
    </r>
    <r>
      <rPr>
        <sz val="11"/>
        <color theme="1"/>
        <rFont val="Calibri"/>
        <family val="2"/>
        <scheme val="minor"/>
      </rPr>
      <t xml:space="preserve"> </t>
    </r>
    <r>
      <rPr>
        <sz val="11"/>
        <color theme="1"/>
        <rFont val="Arial"/>
        <family val="2"/>
        <charset val="204"/>
      </rPr>
      <t>إيرادات</t>
    </r>
    <r>
      <rPr>
        <sz val="11"/>
        <color theme="1"/>
        <rFont val="Calibri"/>
        <family val="2"/>
        <scheme val="minor"/>
      </rPr>
      <t xml:space="preserve"> </t>
    </r>
    <r>
      <rPr>
        <sz val="11"/>
        <color theme="1"/>
        <rFont val="Arial"/>
        <family val="2"/>
        <charset val="204"/>
      </rPr>
      <t>عينية</t>
    </r>
    <r>
      <rPr>
        <sz val="11"/>
        <color theme="1"/>
        <rFont val="Calibri"/>
        <family val="2"/>
        <scheme val="minor"/>
      </rPr>
      <t>)</t>
    </r>
    <r>
      <rPr>
        <sz val="11"/>
        <color theme="1"/>
        <rFont val="Arial"/>
        <family val="2"/>
        <charset val="204"/>
      </rPr>
      <t>؟</t>
    </r>
  </si>
  <si>
    <t>How much land was rented out for sharecropping in the last 12 months?</t>
  </si>
  <si>
    <r>
      <rPr>
        <sz val="11"/>
        <color theme="1"/>
        <rFont val="Arial"/>
        <family val="2"/>
        <charset val="204"/>
      </rPr>
      <t>ما</t>
    </r>
    <r>
      <rPr>
        <sz val="11"/>
        <color theme="1"/>
        <rFont val="Calibri"/>
        <family val="2"/>
        <scheme val="minor"/>
      </rPr>
      <t xml:space="preserve"> </t>
    </r>
    <r>
      <rPr>
        <sz val="11"/>
        <color theme="1"/>
        <rFont val="Arial"/>
        <family val="2"/>
        <charset val="204"/>
      </rPr>
      <t>هو</t>
    </r>
    <r>
      <rPr>
        <sz val="11"/>
        <color theme="1"/>
        <rFont val="Calibri"/>
        <family val="2"/>
        <scheme val="minor"/>
      </rPr>
      <t xml:space="preserve"> </t>
    </r>
    <r>
      <rPr>
        <sz val="11"/>
        <color theme="1"/>
        <rFont val="Arial"/>
        <family val="2"/>
        <charset val="204"/>
      </rPr>
      <t>المبلغ</t>
    </r>
    <r>
      <rPr>
        <sz val="11"/>
        <color theme="1"/>
        <rFont val="Calibri"/>
        <family val="2"/>
        <scheme val="minor"/>
      </rPr>
      <t xml:space="preserve"> </t>
    </r>
    <r>
      <rPr>
        <sz val="11"/>
        <color theme="1"/>
        <rFont val="Arial"/>
        <family val="2"/>
        <charset val="204"/>
      </rPr>
      <t>الذي</t>
    </r>
    <r>
      <rPr>
        <sz val="11"/>
        <color theme="1"/>
        <rFont val="Calibri"/>
        <family val="2"/>
        <scheme val="minor"/>
      </rPr>
      <t xml:space="preserve"> </t>
    </r>
    <r>
      <rPr>
        <sz val="11"/>
        <color theme="1"/>
        <rFont val="Arial"/>
        <family val="2"/>
        <charset val="204"/>
      </rPr>
      <t>حصلت</t>
    </r>
    <r>
      <rPr>
        <sz val="11"/>
        <color theme="1"/>
        <rFont val="Calibri"/>
        <family val="2"/>
        <scheme val="minor"/>
      </rPr>
      <t xml:space="preserve"> </t>
    </r>
    <r>
      <rPr>
        <sz val="11"/>
        <color theme="1"/>
        <rFont val="Arial"/>
        <family val="2"/>
        <charset val="204"/>
      </rPr>
      <t>عليه</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تأجير</t>
    </r>
    <r>
      <rPr>
        <sz val="11"/>
        <color theme="1"/>
        <rFont val="Calibri"/>
        <family val="2"/>
        <scheme val="minor"/>
      </rPr>
      <t xml:space="preserve"> </t>
    </r>
    <r>
      <rPr>
        <sz val="11"/>
        <color theme="1"/>
        <rFont val="Arial"/>
        <family val="2"/>
        <charset val="204"/>
      </rPr>
      <t>تلك</t>
    </r>
    <r>
      <rPr>
        <sz val="11"/>
        <color theme="1"/>
        <rFont val="Calibri"/>
        <family val="2"/>
        <scheme val="minor"/>
      </rPr>
      <t xml:space="preserve"> </t>
    </r>
    <r>
      <rPr>
        <sz val="11"/>
        <color theme="1"/>
        <rFont val="Arial"/>
        <family val="2"/>
        <charset val="204"/>
      </rPr>
      <t>الأراضي</t>
    </r>
    <r>
      <rPr>
        <sz val="11"/>
        <color theme="1"/>
        <rFont val="Calibri"/>
        <family val="2"/>
        <scheme val="minor"/>
      </rPr>
      <t>(</t>
    </r>
    <r>
      <rPr>
        <sz val="11"/>
        <color theme="1"/>
        <rFont val="Arial"/>
        <family val="2"/>
        <charset val="204"/>
      </rPr>
      <t>بما</t>
    </r>
    <r>
      <rPr>
        <sz val="11"/>
        <color theme="1"/>
        <rFont val="Calibri"/>
        <family val="2"/>
        <scheme val="minor"/>
      </rPr>
      <t xml:space="preserve"> </t>
    </r>
    <r>
      <rPr>
        <sz val="11"/>
        <color theme="1"/>
        <rFont val="Arial"/>
        <family val="2"/>
        <charset val="204"/>
      </rPr>
      <t>فيه</t>
    </r>
    <r>
      <rPr>
        <sz val="11"/>
        <color theme="1"/>
        <rFont val="Calibri"/>
        <family val="2"/>
        <scheme val="minor"/>
      </rPr>
      <t xml:space="preserve"> </t>
    </r>
    <r>
      <rPr>
        <sz val="11"/>
        <color theme="1"/>
        <rFont val="Arial"/>
        <family val="2"/>
        <charset val="204"/>
      </rPr>
      <t>إيرادات</t>
    </r>
    <r>
      <rPr>
        <sz val="11"/>
        <color theme="1"/>
        <rFont val="Calibri"/>
        <family val="2"/>
        <scheme val="minor"/>
      </rPr>
      <t xml:space="preserve"> </t>
    </r>
    <r>
      <rPr>
        <sz val="11"/>
        <color theme="1"/>
        <rFont val="Arial"/>
        <family val="2"/>
        <charset val="204"/>
      </rPr>
      <t>عينية</t>
    </r>
    <r>
      <rPr>
        <sz val="11"/>
        <color theme="1"/>
        <rFont val="Calibri"/>
        <family val="2"/>
        <scheme val="minor"/>
      </rPr>
      <t>)</t>
    </r>
    <r>
      <rPr>
        <sz val="11"/>
        <color theme="1"/>
        <rFont val="Arial"/>
        <family val="2"/>
        <charset val="204"/>
      </rPr>
      <t>؟</t>
    </r>
    <r>
      <rPr>
        <sz val="11"/>
        <color theme="1"/>
        <rFont val="Calibri"/>
        <family val="2"/>
        <scheme val="minor"/>
      </rPr>
      <t xml:space="preserve">
</t>
    </r>
  </si>
  <si>
    <r>
      <rPr>
        <sz val="11"/>
        <color theme="1"/>
        <rFont val="Arial"/>
        <family val="2"/>
        <charset val="204"/>
      </rPr>
      <t>هل</t>
    </r>
    <r>
      <rPr>
        <sz val="11"/>
        <color theme="1"/>
        <rFont val="Calibri"/>
        <family val="2"/>
        <scheme val="minor"/>
      </rPr>
      <t xml:space="preserve"> </t>
    </r>
    <r>
      <rPr>
        <sz val="11"/>
        <color theme="1"/>
        <rFont val="Arial"/>
        <family val="2"/>
        <charset val="204"/>
      </rPr>
      <t>تستأجر</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الأخرين</t>
    </r>
    <r>
      <rPr>
        <sz val="11"/>
        <color theme="1"/>
        <rFont val="Calibri"/>
        <family val="2"/>
        <scheme val="minor"/>
      </rPr>
      <t xml:space="preserve">)  </t>
    </r>
    <r>
      <rPr>
        <sz val="11"/>
        <color theme="1"/>
        <rFont val="Arial"/>
        <family val="2"/>
        <charset val="204"/>
      </rPr>
      <t>أي</t>
    </r>
    <r>
      <rPr>
        <sz val="11"/>
        <color theme="1"/>
        <rFont val="Calibri"/>
        <family val="2"/>
        <scheme val="minor"/>
      </rPr>
      <t xml:space="preserve"> </t>
    </r>
    <r>
      <rPr>
        <sz val="11"/>
        <color theme="1"/>
        <rFont val="Arial"/>
        <family val="2"/>
        <charset val="204"/>
      </rPr>
      <t>أراضي</t>
    </r>
    <r>
      <rPr>
        <sz val="11"/>
        <color theme="1"/>
        <rFont val="Calibri"/>
        <family val="2"/>
        <scheme val="minor"/>
      </rPr>
      <t xml:space="preserve"> </t>
    </r>
    <r>
      <rPr>
        <sz val="11"/>
        <color theme="1"/>
        <rFont val="Arial"/>
        <family val="2"/>
        <charset val="204"/>
      </rPr>
      <t>زراعية</t>
    </r>
    <r>
      <rPr>
        <sz val="11"/>
        <color theme="1"/>
        <rFont val="Calibri"/>
        <family val="2"/>
        <scheme val="minor"/>
      </rPr>
      <t xml:space="preserve"> </t>
    </r>
    <r>
      <rPr>
        <sz val="11"/>
        <color theme="1"/>
        <rFont val="Arial"/>
        <family val="2"/>
        <charset val="204"/>
      </rPr>
      <t>؟</t>
    </r>
    <r>
      <rPr>
        <sz val="11"/>
        <color theme="1"/>
        <rFont val="Calibri"/>
        <family val="2"/>
        <scheme val="minor"/>
      </rPr>
      <t xml:space="preserve">
</t>
    </r>
  </si>
  <si>
    <t>Do you rent (from others) any land?</t>
  </si>
  <si>
    <t>What's the value of the annual rent?  (in pounds)</t>
  </si>
  <si>
    <t>الجاموس</t>
  </si>
  <si>
    <t xml:space="preserve"> 16.3 الأصول الزراعية: المعدّات ذات القيمة والآلات</t>
  </si>
  <si>
    <t xml:space="preserve">محراث آلي  </t>
  </si>
  <si>
    <t>شبكة ري بنظام التنقيط</t>
  </si>
  <si>
    <t xml:space="preserve">دراسة آلية </t>
  </si>
  <si>
    <t>دراسة يدوية</t>
  </si>
  <si>
    <t>ماكينة رش كيماوي</t>
  </si>
  <si>
    <t>مضخة يدوية لرش الكيماوي</t>
  </si>
  <si>
    <t>عربة يجرها حمار</t>
  </si>
  <si>
    <t>عربة صغيرة يدفعها شخص</t>
  </si>
  <si>
    <t>ماكينة تفريخ دجاج/بطارية أرانب</t>
  </si>
  <si>
    <t>16.4 المحاصيل الزراعية</t>
  </si>
  <si>
    <t>Does any member of your household currently have any [animal]?</t>
  </si>
  <si>
    <t>How many  [animal] does your household currently own entirely or with sharing?</t>
  </si>
  <si>
    <t>Is the primary person who takes care of the [animal] a member of the household?</t>
  </si>
  <si>
    <t>Who is the primary person who takes care of the [animal]? First member</t>
  </si>
  <si>
    <t>Is there another person who takes care of the [animal]?</t>
  </si>
  <si>
    <t>Is the second person who takes care of the [animal] a member of the household?</t>
  </si>
  <si>
    <t>Who is the person who takes care of the [animal]? Second member</t>
  </si>
  <si>
    <t>Is the third person who takes care of the [animal] a member of the household?</t>
  </si>
  <si>
    <t>Who is the person who takes care of the [animal]? Third member</t>
  </si>
  <si>
    <t>During the past 12 months have you sold any of the [animal]?</t>
  </si>
  <si>
    <t>How many [animal] have been sold?</t>
  </si>
  <si>
    <t>What was the total value of the sales of [animal] ? (in pounds)</t>
  </si>
  <si>
    <t>هل هناك شخص آخر يرعى ]الحيوانات[؟</t>
  </si>
  <si>
    <t>Was the [item] rented out in the last 12 months?</t>
  </si>
  <si>
    <t xml:space="preserve">Does your household own any [item]? (Entirely or with sharing)   </t>
  </si>
  <si>
    <t>How many [item] does your household own?</t>
  </si>
  <si>
    <t>Does your household own any [item] jointly with any other household?</t>
  </si>
  <si>
    <t>What share of these [item] belong to your household?</t>
  </si>
  <si>
    <t>2 ---&gt; next item</t>
  </si>
  <si>
    <t>.</t>
  </si>
  <si>
    <t>do section 5_0_individual_questionnaires</t>
  </si>
  <si>
    <t>5_0_individual_questionnaires</t>
  </si>
  <si>
    <t>quest2_00_0</t>
  </si>
  <si>
    <t>member_info_2_00_0</t>
  </si>
  <si>
    <t>member_2018_update_count_1</t>
  </si>
  <si>
    <t>member_2018_update_count_2</t>
  </si>
  <si>
    <t>Ages 6+ only</t>
  </si>
  <si>
    <t>zcheck_member_2018_update_1</t>
  </si>
  <si>
    <t>zcheck_member_2018_update_2</t>
  </si>
  <si>
    <t>member_2018_update_count_0</t>
  </si>
  <si>
    <t>zcheck_member_2018_update_0</t>
  </si>
  <si>
    <t>zcheck_14</t>
  </si>
  <si>
    <t>zcheck_13</t>
  </si>
  <si>
    <t>Need to finalize all individuals 6+ from 2018 before continuing</t>
  </si>
  <si>
    <t>fridge</t>
  </si>
  <si>
    <t>freezer</t>
  </si>
  <si>
    <t>dishwasher</t>
  </si>
  <si>
    <t>coloured TV</t>
  </si>
  <si>
    <t>B&amp;W TV</t>
  </si>
  <si>
    <t>Flat TV</t>
  </si>
  <si>
    <t>VCR / DVD / Streaming box</t>
  </si>
  <si>
    <t>microwave oven</t>
  </si>
  <si>
    <t>cooker/stove</t>
  </si>
  <si>
    <t>kerosene cooker (Babour gas)</t>
  </si>
  <si>
    <t>Traditional Gas oven</t>
  </si>
  <si>
    <t>electric fan</t>
  </si>
  <si>
    <t>water heater</t>
  </si>
  <si>
    <t>space heater (gas, oil, or electric)</t>
  </si>
  <si>
    <t>sewing machine</t>
  </si>
  <si>
    <t>Iron (electric or other)</t>
  </si>
  <si>
    <t>Radio, tape recorder, CD player</t>
  </si>
  <si>
    <t>Manual/ Semi-automatic washing machine</t>
  </si>
  <si>
    <t>Full automatic washing machine</t>
  </si>
  <si>
    <t>bicycle</t>
  </si>
  <si>
    <t>motorcycle / scooter</t>
  </si>
  <si>
    <t>private car</t>
  </si>
  <si>
    <t>taxi</t>
  </si>
  <si>
    <t>truck/pick-up truck</t>
  </si>
  <si>
    <t>Tok-Tok</t>
  </si>
  <si>
    <t>desktop computer</t>
  </si>
  <si>
    <t>Notebook, laptop or tablet computer</t>
  </si>
  <si>
    <t>Router/internet connection</t>
  </si>
  <si>
    <t>Landline phone</t>
  </si>
  <si>
    <t>Regular mobile phone</t>
  </si>
  <si>
    <t>Smart mobile phone</t>
  </si>
  <si>
    <t>satellite dish and receiver</t>
  </si>
  <si>
    <t>additional satellite receiver</t>
  </si>
  <si>
    <t>Water pump</t>
  </si>
  <si>
    <t>Hair dryer</t>
  </si>
  <si>
    <t>Vacuum</t>
  </si>
  <si>
    <t>Electricity generator</t>
  </si>
  <si>
    <t>غسالة أطباق</t>
  </si>
  <si>
    <t>تلفزيون ملون</t>
  </si>
  <si>
    <t>تلفزيون ابيض واسود</t>
  </si>
  <si>
    <t>تليفزيون مسطح</t>
  </si>
  <si>
    <t>جهاز تكييف</t>
  </si>
  <si>
    <t>فرن ميكروويف</t>
  </si>
  <si>
    <t>وابور جاز/بوتجاز صغير/عين</t>
  </si>
  <si>
    <t>فرن صاج غاز</t>
  </si>
  <si>
    <t>مروحة كهربائية</t>
  </si>
  <si>
    <t>دفاية (كهرباء/غاز/كيروسين)</t>
  </si>
  <si>
    <t>ماكينة خياطة</t>
  </si>
  <si>
    <t>مكواة (كهرباء أو خلافه)</t>
  </si>
  <si>
    <t>راديو - كاسيت - مشغل اسطوانات</t>
  </si>
  <si>
    <t>غسالة فول أتوماتيك</t>
  </si>
  <si>
    <t>دراجة</t>
  </si>
  <si>
    <t>سيارة خاصة</t>
  </si>
  <si>
    <t>سيارة أجرة</t>
  </si>
  <si>
    <t>سيارة نقل/نصف نقل</t>
  </si>
  <si>
    <t>كمبيوتر</t>
  </si>
  <si>
    <t>راوتر/وصلة انترنت</t>
  </si>
  <si>
    <t>تليفون أرضي</t>
  </si>
  <si>
    <t>تليفون محمول عادي</t>
  </si>
  <si>
    <t>تليفون محمول سمارت</t>
  </si>
  <si>
    <t>دش وجهاز استقبال (رسيفر)</t>
  </si>
  <si>
    <t>جهاز استقبال (رسيفر) إضافى</t>
  </si>
  <si>
    <t>ماتور ضخ مياه (طلمبة)</t>
  </si>
  <si>
    <t>مجفف شعر (سيشوار)</t>
  </si>
  <si>
    <t>مكنسة كهربائية</t>
  </si>
  <si>
    <t>مولد كهرباء</t>
  </si>
  <si>
    <t>14.4 Shocks and Coping</t>
  </si>
  <si>
    <t>14.4 Shocks and coping</t>
  </si>
  <si>
    <t>14_4_Shocks_coping</t>
  </si>
  <si>
    <t>do section 14_4_Shocks_coping</t>
  </si>
  <si>
    <t>Has your household experienced any of these shocks in the last 12 months?</t>
  </si>
  <si>
    <t>drought/water shortage</t>
  </si>
  <si>
    <t>regular floods</t>
  </si>
  <si>
    <t>flash floods</t>
  </si>
  <si>
    <t>landslides, erosion</t>
  </si>
  <si>
    <t>Severely high level of crop pests and disease</t>
  </si>
  <si>
    <t>Fire</t>
  </si>
  <si>
    <t>high costs of agricultural inputs (seed, fertilizer, etc.)</t>
  </si>
  <si>
    <t>Lack or loss of employment</t>
  </si>
  <si>
    <t>Unusually high level of human disease</t>
  </si>
  <si>
    <t>reduced income of household member</t>
  </si>
  <si>
    <t>serious illness or accident of household member</t>
  </si>
  <si>
    <t>theft of money/valuables/animals</t>
  </si>
  <si>
    <t>conflict/lack of security/violence</t>
  </si>
  <si>
    <t>other (specify)</t>
  </si>
  <si>
    <t>What did the household do to compensate for the shock (s)?</t>
  </si>
  <si>
    <t>If all 2--&gt; next section</t>
  </si>
  <si>
    <t>ate less food</t>
  </si>
  <si>
    <t>purchased goods on credit</t>
  </si>
  <si>
    <t>some HH members migrated</t>
  </si>
  <si>
    <t>sold durable goods</t>
  </si>
  <si>
    <t>sent family members to live with other relatives</t>
  </si>
  <si>
    <t>reduced spending on health</t>
  </si>
  <si>
    <t>reduced spending on education</t>
  </si>
  <si>
    <t>spent savings</t>
  </si>
  <si>
    <t>sold or consumed livestock</t>
  </si>
  <si>
    <t>sold crop before harvest</t>
  </si>
  <si>
    <t>rented out land</t>
  </si>
  <si>
    <t>sold land</t>
  </si>
  <si>
    <t>borrowed money from a moneylender or bank</t>
  </si>
  <si>
    <t>sold jewelry</t>
  </si>
  <si>
    <t>how_often</t>
  </si>
  <si>
    <t>كم مرة؟</t>
  </si>
  <si>
    <t xml:space="preserve">How often? </t>
  </si>
  <si>
    <t xml:space="preserve">In the past four weeks, did you worry that your household would not have enough food? </t>
  </si>
  <si>
    <t xml:space="preserve">In the past four weeks, were you or any household member not able to eat the kinds of food you preferred because of a lack of resources? </t>
  </si>
  <si>
    <t xml:space="preserve">In the past four weeks, did you or any household member have to eat a limited variety of foods due to a lack of resources? </t>
  </si>
  <si>
    <t xml:space="preserve">In the past four weeks, did you or any household member have to eat some foods that you really did not want to eat because of a lack of resources to obtain other types of food? </t>
  </si>
  <si>
    <t xml:space="preserve">In the past four weeks, did you or any household member have to eat a smaller meal than you felt you needed because there was not enough food? </t>
  </si>
  <si>
    <t xml:space="preserve">In the past four weeks, did you or any household member have to eat fewer meals in a day because there was not enough food? </t>
  </si>
  <si>
    <t xml:space="preserve">In the past four weeks, was there ever no food to eat of any kind in your household because of a lack of resources to get food? </t>
  </si>
  <si>
    <t xml:space="preserve">1. Rarely (once or twice in the past four weeks) </t>
  </si>
  <si>
    <t xml:space="preserve">2. Sometimes (three to ten times in the past four weeks) </t>
  </si>
  <si>
    <t xml:space="preserve">3. Often (more than ten times in the past four weeks) </t>
  </si>
  <si>
    <t>14_4</t>
  </si>
  <si>
    <t>Borrow food, or rely on help from a friend or relative to provide or buy food?</t>
  </si>
  <si>
    <t>Purchase food on credit?</t>
  </si>
  <si>
    <t>Send household members to beg?</t>
  </si>
  <si>
    <t>consumed seed stock held for next season?</t>
  </si>
  <si>
    <t>spent savings?</t>
  </si>
  <si>
    <t>Sold or consumed livestock?</t>
  </si>
  <si>
    <t>worked for food only?</t>
  </si>
  <si>
    <t>other, specify</t>
  </si>
  <si>
    <t>In the past four weeks, if there have been times when you did not have enough food or money to buy food, has your household had to:</t>
  </si>
  <si>
    <r>
      <t xml:space="preserve">In the past year, did you </t>
    </r>
    <r>
      <rPr>
        <u/>
        <sz val="12"/>
        <color theme="1"/>
        <rFont val="Calibri"/>
        <family val="2"/>
        <scheme val="minor"/>
      </rPr>
      <t>receive</t>
    </r>
    <r>
      <rPr>
        <sz val="11"/>
        <color theme="1"/>
        <rFont val="Calibri"/>
        <family val="2"/>
        <scheme val="minor"/>
      </rPr>
      <t xml:space="preserve"> from family (not in the household) or neighbors for financial or in-kind support with any of the following?</t>
    </r>
  </si>
  <si>
    <r>
      <t xml:space="preserve">In the past year, did you </t>
    </r>
    <r>
      <rPr>
        <u/>
        <sz val="12"/>
        <color theme="1"/>
        <rFont val="Calibri"/>
        <family val="2"/>
        <scheme val="minor"/>
      </rPr>
      <t>provide</t>
    </r>
    <r>
      <rPr>
        <sz val="11"/>
        <color theme="1"/>
        <rFont val="Calibri"/>
        <family val="2"/>
        <scheme val="minor"/>
      </rPr>
      <t xml:space="preserve">  family (not in the household) or neighbors for financial or in-kind support with any of the following?</t>
    </r>
  </si>
  <si>
    <t>Medical/Clinic/Hospital expense</t>
  </si>
  <si>
    <t>Clothing</t>
  </si>
  <si>
    <t>Food (including during religious celebrations)</t>
  </si>
  <si>
    <t>Labor for farming</t>
  </si>
  <si>
    <t>School fees</t>
  </si>
  <si>
    <t>Hoes and other small farm tools</t>
  </si>
  <si>
    <t>Large farm tools</t>
  </si>
  <si>
    <t>Agricultural inputs (ex: seeds)</t>
  </si>
  <si>
    <t>rent out any land (to others) or rent land from others (including sharecropping)</t>
  </si>
  <si>
    <t xml:space="preserve">In the past 12 months have you had any of the following expenditures related to livestock? </t>
  </si>
  <si>
    <t>hired labor for herding or feeding</t>
  </si>
  <si>
    <t>livestock/poultry feed</t>
  </si>
  <si>
    <t>verterinary services/medicine</t>
  </si>
  <si>
    <t>growing own feed (for example, clover)</t>
  </si>
  <si>
    <t>Cash value (if in kind or grown, give estimated cash value)</t>
  </si>
  <si>
    <t>During the past 12 months have you consumed any of the [animal]?</t>
  </si>
  <si>
    <t>emp_indiv</t>
  </si>
  <si>
    <t>self_indiv</t>
  </si>
  <si>
    <t>ufw_indiv</t>
  </si>
  <si>
    <t>zcheck_emp_indiv</t>
  </si>
  <si>
    <t>zcheck_self_indiv</t>
  </si>
  <si>
    <t>zcheck_ufw_indiv</t>
  </si>
  <si>
    <t>No enterprises</t>
  </si>
  <si>
    <t>zcheck_ent</t>
  </si>
  <si>
    <r>
      <t xml:space="preserve">14.1 </t>
    </r>
    <r>
      <rPr>
        <sz val="11"/>
        <color theme="1"/>
        <rFont val="Arial"/>
        <family val="2"/>
        <charset val="204"/>
      </rPr>
      <t>خصائص</t>
    </r>
    <r>
      <rPr>
        <sz val="11"/>
        <color theme="1"/>
        <rFont val="Calibri"/>
        <family val="2"/>
        <scheme val="minor"/>
      </rPr>
      <t xml:space="preserve"> </t>
    </r>
    <r>
      <rPr>
        <sz val="11"/>
        <color theme="1"/>
        <rFont val="Arial"/>
        <family val="2"/>
        <charset val="204"/>
      </rPr>
      <t>المسافرين</t>
    </r>
    <r>
      <rPr>
        <sz val="11"/>
        <color theme="1"/>
        <rFont val="Calibri"/>
        <family val="2"/>
        <scheme val="minor"/>
      </rPr>
      <t xml:space="preserve"> </t>
    </r>
    <r>
      <rPr>
        <sz val="11"/>
        <color theme="1"/>
        <rFont val="Arial"/>
        <family val="2"/>
        <charset val="204"/>
      </rPr>
      <t xml:space="preserve">الحاليين </t>
    </r>
    <r>
      <rPr>
        <sz val="11"/>
        <color theme="1"/>
        <rFont val="Calibri"/>
        <family val="2"/>
        <scheme val="minor"/>
      </rPr>
      <t>با</t>
    </r>
    <r>
      <rPr>
        <sz val="11"/>
        <color theme="1"/>
        <rFont val="Arial"/>
        <family val="2"/>
        <charset val="204"/>
      </rPr>
      <t>لأسرة</t>
    </r>
  </si>
  <si>
    <r>
      <t xml:space="preserve"> 14.2 </t>
    </r>
    <r>
      <rPr>
        <sz val="11"/>
        <color theme="1"/>
        <rFont val="Arial"/>
        <family val="2"/>
        <charset val="204"/>
      </rPr>
      <t>تحويلات</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أفراد</t>
    </r>
    <r>
      <rPr>
        <sz val="11"/>
        <color theme="1"/>
        <rFont val="Calibri"/>
        <family val="2"/>
        <scheme val="minor"/>
      </rPr>
      <t xml:space="preserve"> </t>
    </r>
  </si>
  <si>
    <r>
      <t xml:space="preserve"> 14.3 </t>
    </r>
    <r>
      <rPr>
        <sz val="11"/>
        <rFont val="Arial"/>
        <family val="2"/>
        <charset val="204"/>
      </rPr>
      <t>مصادر</t>
    </r>
    <r>
      <rPr>
        <sz val="11"/>
        <rFont val="Calibri"/>
        <family val="2"/>
        <scheme val="minor"/>
      </rPr>
      <t xml:space="preserve"> </t>
    </r>
    <r>
      <rPr>
        <sz val="11"/>
        <rFont val="Arial"/>
        <family val="2"/>
        <charset val="204"/>
      </rPr>
      <t>أخرى</t>
    </r>
    <r>
      <rPr>
        <sz val="11"/>
        <rFont val="Calibri"/>
        <family val="2"/>
        <scheme val="minor"/>
      </rPr>
      <t xml:space="preserve"> </t>
    </r>
    <r>
      <rPr>
        <sz val="11"/>
        <rFont val="Arial"/>
        <family val="2"/>
        <charset val="204"/>
      </rPr>
      <t>للدخل</t>
    </r>
    <r>
      <rPr>
        <sz val="11"/>
        <rFont val="Calibri"/>
        <family val="2"/>
        <scheme val="minor"/>
      </rPr>
      <t xml:space="preserve"> </t>
    </r>
  </si>
  <si>
    <t xml:space="preserve"> 16.5 دخول زراعية أخرى</t>
  </si>
  <si>
    <t>إنجليزي</t>
  </si>
  <si>
    <r>
      <t xml:space="preserve">1. </t>
    </r>
    <r>
      <rPr>
        <sz val="11"/>
        <color theme="1"/>
        <rFont val="Arial"/>
        <family val="2"/>
        <charset val="204"/>
      </rPr>
      <t>نعم،</t>
    </r>
    <r>
      <rPr>
        <sz val="11"/>
        <color theme="1"/>
        <rFont val="Calibri "/>
      </rPr>
      <t xml:space="preserve"> تأجير خلص/جزء تأجير خلص و</t>
    </r>
    <r>
      <rPr>
        <sz val="11"/>
        <color theme="1"/>
        <rFont val="Arial"/>
        <family val="2"/>
        <charset val="204"/>
      </rPr>
      <t>جزء تأجير مشاركة</t>
    </r>
    <r>
      <rPr>
        <sz val="11"/>
        <color theme="1"/>
        <rFont val="Calibri "/>
      </rPr>
      <t xml:space="preserve"> </t>
    </r>
  </si>
  <si>
    <r>
      <t xml:space="preserve">2. </t>
    </r>
    <r>
      <rPr>
        <sz val="11"/>
        <color theme="1"/>
        <rFont val="Arial"/>
        <family val="2"/>
        <charset val="204"/>
      </rPr>
      <t>نعم،</t>
    </r>
    <r>
      <rPr>
        <sz val="11"/>
        <color theme="1"/>
        <rFont val="Calibri "/>
      </rPr>
      <t xml:space="preserve"> ت</t>
    </r>
    <r>
      <rPr>
        <sz val="11"/>
        <color theme="1"/>
        <rFont val="Arial"/>
        <family val="2"/>
        <charset val="204"/>
      </rPr>
      <t>أجير مشاركة</t>
    </r>
    <r>
      <rPr>
        <sz val="11"/>
        <color theme="1"/>
        <rFont val="Calibri "/>
      </rPr>
      <t xml:space="preserve"> </t>
    </r>
    <r>
      <rPr>
        <sz val="11"/>
        <color theme="1"/>
        <rFont val="Arial"/>
        <family val="2"/>
        <charset val="204"/>
      </rPr>
      <t>فقط</t>
    </r>
  </si>
  <si>
    <r>
      <t xml:space="preserve">1. </t>
    </r>
    <r>
      <rPr>
        <sz val="11"/>
        <color theme="1"/>
        <rFont val="Arial"/>
        <family val="2"/>
        <charset val="204"/>
      </rPr>
      <t>تأجير</t>
    </r>
    <r>
      <rPr>
        <sz val="11"/>
        <color theme="1"/>
        <rFont val="Calibri "/>
      </rPr>
      <t xml:space="preserve"> </t>
    </r>
    <r>
      <rPr>
        <sz val="11"/>
        <color theme="1"/>
        <rFont val="Arial"/>
        <family val="2"/>
        <charset val="204"/>
      </rPr>
      <t>خلص</t>
    </r>
  </si>
  <si>
    <r>
      <t xml:space="preserve">2. </t>
    </r>
    <r>
      <rPr>
        <sz val="11"/>
        <color theme="1"/>
        <rFont val="Arial"/>
        <family val="2"/>
        <charset val="204"/>
      </rPr>
      <t>تأجير</t>
    </r>
    <r>
      <rPr>
        <sz val="11"/>
        <color theme="1"/>
        <rFont val="Calibri "/>
      </rPr>
      <t xml:space="preserve"> </t>
    </r>
    <r>
      <rPr>
        <sz val="11"/>
        <color theme="1"/>
        <rFont val="Arial"/>
        <family val="2"/>
        <charset val="204"/>
      </rPr>
      <t>مشاركة</t>
    </r>
  </si>
  <si>
    <r>
      <t xml:space="preserve">3. </t>
    </r>
    <r>
      <rPr>
        <sz val="11"/>
        <color theme="1"/>
        <rFont val="Arial"/>
        <family val="2"/>
        <charset val="204"/>
      </rPr>
      <t>كلاهما</t>
    </r>
  </si>
  <si>
    <t>1. قرية أم</t>
  </si>
  <si>
    <t>2. تابع</t>
  </si>
  <si>
    <t>1. حضر</t>
  </si>
  <si>
    <t>2. ريف</t>
  </si>
  <si>
    <t>للباحث: يتم استيفاء هذا القسم من الفرد الأكثر دراية بالأسرة</t>
  </si>
  <si>
    <t>اسم الفرد المستجيب:</t>
  </si>
  <si>
    <r>
      <rPr>
        <sz val="11"/>
        <color theme="1"/>
        <rFont val="Arial"/>
        <family val="2"/>
        <charset val="204"/>
      </rPr>
      <t>ما</t>
    </r>
    <r>
      <rPr>
        <sz val="11"/>
        <color theme="1"/>
        <rFont val="Calibri"/>
        <family val="2"/>
        <scheme val="minor"/>
      </rPr>
      <t xml:space="preserve"> </t>
    </r>
    <r>
      <rPr>
        <sz val="11"/>
        <color theme="1"/>
        <rFont val="Arial"/>
        <family val="2"/>
        <charset val="204"/>
      </rPr>
      <t>هو</t>
    </r>
    <r>
      <rPr>
        <sz val="11"/>
        <color theme="1"/>
        <rFont val="Calibri"/>
        <family val="2"/>
        <scheme val="minor"/>
      </rPr>
      <t xml:space="preserve"> </t>
    </r>
    <r>
      <rPr>
        <sz val="11"/>
        <color theme="1"/>
        <rFont val="Arial"/>
        <family val="2"/>
        <charset val="204"/>
      </rPr>
      <t>عدد</t>
    </r>
    <r>
      <rPr>
        <sz val="11"/>
        <color theme="1"/>
        <rFont val="Calibri"/>
        <family val="2"/>
        <scheme val="minor"/>
      </rPr>
      <t xml:space="preserve"> </t>
    </r>
    <r>
      <rPr>
        <sz val="11"/>
        <color theme="1"/>
        <rFont val="Arial"/>
        <family val="2"/>
        <charset val="204"/>
      </rPr>
      <t>أفراد</t>
    </r>
    <r>
      <rPr>
        <sz val="11"/>
        <color theme="1"/>
        <rFont val="Calibri"/>
        <family val="2"/>
        <scheme val="minor"/>
      </rPr>
      <t xml:space="preserve"> </t>
    </r>
    <r>
      <rPr>
        <sz val="11"/>
        <color theme="1"/>
        <rFont val="Arial"/>
        <family val="2"/>
        <charset val="204"/>
      </rPr>
      <t>الأسرة</t>
    </r>
    <r>
      <rPr>
        <sz val="11"/>
        <color theme="1"/>
        <rFont val="Calibri"/>
        <family val="2"/>
        <scheme val="minor"/>
      </rPr>
      <t xml:space="preserve"> </t>
    </r>
    <r>
      <rPr>
        <sz val="11"/>
        <color theme="1"/>
        <rFont val="Arial"/>
        <family val="2"/>
        <charset val="204"/>
      </rPr>
      <t>المتواجدين</t>
    </r>
    <r>
      <rPr>
        <sz val="11"/>
        <color theme="1"/>
        <rFont val="Calibri"/>
        <family val="2"/>
        <scheme val="minor"/>
      </rPr>
      <t xml:space="preserve"> </t>
    </r>
    <r>
      <rPr>
        <sz val="11"/>
        <color theme="1"/>
        <rFont val="Arial"/>
        <family val="2"/>
        <charset val="204"/>
      </rPr>
      <t>بالخارج</t>
    </r>
    <r>
      <rPr>
        <sz val="11"/>
        <color theme="1"/>
        <rFont val="Calibri"/>
        <family val="2"/>
        <scheme val="minor"/>
      </rPr>
      <t xml:space="preserve"> و</t>
    </r>
    <r>
      <rPr>
        <sz val="11"/>
        <color theme="1"/>
        <rFont val="Arial"/>
        <family val="2"/>
        <charset val="204"/>
      </rPr>
      <t>الذين</t>
    </r>
    <r>
      <rPr>
        <sz val="11"/>
        <color theme="1"/>
        <rFont val="Calibri"/>
        <family val="2"/>
        <scheme val="minor"/>
      </rPr>
      <t xml:space="preserve"> تبلغ </t>
    </r>
    <r>
      <rPr>
        <sz val="11"/>
        <color theme="1"/>
        <rFont val="Arial"/>
        <family val="2"/>
        <charset val="204"/>
      </rPr>
      <t>أعمارهم</t>
    </r>
    <r>
      <rPr>
        <sz val="11"/>
        <color theme="1"/>
        <rFont val="Calibri"/>
        <family val="2"/>
        <scheme val="minor"/>
      </rPr>
      <t xml:space="preserve"> 15 </t>
    </r>
    <r>
      <rPr>
        <sz val="11"/>
        <color theme="1"/>
        <rFont val="Arial"/>
        <family val="2"/>
        <charset val="204"/>
      </rPr>
      <t>سنة</t>
    </r>
    <r>
      <rPr>
        <sz val="11"/>
        <color theme="1"/>
        <rFont val="Calibri"/>
        <family val="2"/>
        <scheme val="minor"/>
      </rPr>
      <t xml:space="preserve"> </t>
    </r>
    <r>
      <rPr>
        <sz val="11"/>
        <color theme="1"/>
        <rFont val="Arial"/>
        <family val="2"/>
        <charset val="204"/>
      </rPr>
      <t>فأكثر؟</t>
    </r>
  </si>
  <si>
    <r>
      <rPr>
        <sz val="11"/>
        <color theme="1"/>
        <rFont val="Arial"/>
        <family val="2"/>
        <charset val="204"/>
      </rPr>
      <t>أضف</t>
    </r>
    <r>
      <rPr>
        <sz val="11"/>
        <color theme="1"/>
        <rFont val="Calibri"/>
        <family val="2"/>
        <scheme val="minor"/>
      </rPr>
      <t xml:space="preserve"> </t>
    </r>
    <r>
      <rPr>
        <sz val="11"/>
        <color theme="1"/>
        <rFont val="Arial"/>
        <family val="2"/>
        <charset val="204"/>
      </rPr>
      <t>أفراد</t>
    </r>
    <r>
      <rPr>
        <sz val="11"/>
        <color theme="1"/>
        <rFont val="Calibri"/>
        <family val="2"/>
        <scheme val="minor"/>
      </rPr>
      <t xml:space="preserve"> </t>
    </r>
    <r>
      <rPr>
        <sz val="11"/>
        <color theme="1"/>
        <rFont val="Arial"/>
        <family val="2"/>
        <charset val="204"/>
      </rPr>
      <t>الأسرة</t>
    </r>
    <r>
      <rPr>
        <sz val="11"/>
        <color theme="1"/>
        <rFont val="Calibri"/>
        <family val="2"/>
        <scheme val="minor"/>
      </rPr>
      <t xml:space="preserve"> </t>
    </r>
    <r>
      <rPr>
        <sz val="11"/>
        <color theme="1"/>
        <rFont val="Arial"/>
        <family val="2"/>
        <charset val="204"/>
      </rPr>
      <t>الذين</t>
    </r>
    <r>
      <rPr>
        <sz val="11"/>
        <color theme="1"/>
        <rFont val="Calibri"/>
        <family val="2"/>
        <scheme val="minor"/>
      </rPr>
      <t xml:space="preserve"> </t>
    </r>
    <r>
      <rPr>
        <sz val="11"/>
        <color theme="1"/>
        <rFont val="Arial"/>
        <family val="2"/>
        <charset val="204"/>
      </rPr>
      <t>يعيشون</t>
    </r>
    <r>
      <rPr>
        <sz val="11"/>
        <color theme="1"/>
        <rFont val="Calibri"/>
        <family val="2"/>
        <scheme val="minor"/>
      </rPr>
      <t xml:space="preserve"> </t>
    </r>
    <r>
      <rPr>
        <sz val="11"/>
        <color theme="1"/>
        <rFont val="Arial"/>
        <family val="2"/>
        <charset val="204"/>
      </rPr>
      <t>في</t>
    </r>
    <r>
      <rPr>
        <sz val="11"/>
        <color theme="1"/>
        <rFont val="Calibri"/>
        <family val="2"/>
        <scheme val="minor"/>
      </rPr>
      <t xml:space="preserve"> </t>
    </r>
    <r>
      <rPr>
        <sz val="11"/>
        <color theme="1"/>
        <rFont val="Arial"/>
        <family val="2"/>
        <charset val="204"/>
      </rPr>
      <t>الخارج</t>
    </r>
    <r>
      <rPr>
        <sz val="11"/>
        <color theme="1"/>
        <rFont val="Calibri"/>
        <family val="2"/>
        <scheme val="minor"/>
      </rPr>
      <t xml:space="preserve"> ويبلغون </t>
    </r>
    <r>
      <rPr>
        <sz val="11"/>
        <color theme="1"/>
        <rFont val="Arial"/>
        <family val="2"/>
        <charset val="204"/>
      </rPr>
      <t>من</t>
    </r>
    <r>
      <rPr>
        <sz val="11"/>
        <color theme="1"/>
        <rFont val="Calibri"/>
        <family val="2"/>
        <scheme val="minor"/>
      </rPr>
      <t xml:space="preserve"> </t>
    </r>
    <r>
      <rPr>
        <sz val="11"/>
        <color theme="1"/>
        <rFont val="Arial"/>
        <family val="2"/>
        <charset val="204"/>
      </rPr>
      <t>العمر</t>
    </r>
    <r>
      <rPr>
        <sz val="11"/>
        <color theme="1"/>
        <rFont val="Calibri"/>
        <family val="2"/>
        <scheme val="minor"/>
      </rPr>
      <t xml:space="preserve"> 15 </t>
    </r>
    <r>
      <rPr>
        <sz val="11"/>
        <color theme="1"/>
        <rFont val="Arial"/>
        <family val="2"/>
        <charset val="204"/>
      </rPr>
      <t>سنة</t>
    </r>
    <r>
      <rPr>
        <sz val="11"/>
        <color theme="1"/>
        <rFont val="Calibri"/>
        <family val="2"/>
        <scheme val="minor"/>
      </rPr>
      <t xml:space="preserve"> </t>
    </r>
    <r>
      <rPr>
        <sz val="11"/>
        <color theme="1"/>
        <rFont val="Arial"/>
        <family val="2"/>
        <charset val="204"/>
      </rPr>
      <t>أو</t>
    </r>
    <r>
      <rPr>
        <sz val="11"/>
        <color theme="1"/>
        <rFont val="Calibri"/>
        <family val="2"/>
        <scheme val="minor"/>
      </rPr>
      <t xml:space="preserve"> </t>
    </r>
    <r>
      <rPr>
        <sz val="11"/>
        <color theme="1"/>
        <rFont val="Arial"/>
        <family val="2"/>
        <charset val="204"/>
      </rPr>
      <t>أكثر</t>
    </r>
    <r>
      <rPr>
        <sz val="11"/>
        <color theme="1"/>
        <rFont val="Calibri"/>
        <family val="2"/>
        <scheme val="minor"/>
      </rPr>
      <t>:</t>
    </r>
  </si>
  <si>
    <t>عدل بيانات أفراد الأسرة الذين يعيشون في الخارج ويبلغون من العمر 15 سنة أو أكثر:</t>
  </si>
  <si>
    <r>
      <t xml:space="preserve">المهاجر هو </t>
    </r>
    <r>
      <rPr>
        <sz val="11"/>
        <color theme="1"/>
        <rFont val="Arial"/>
        <family val="2"/>
        <charset val="204"/>
      </rPr>
      <t>كل</t>
    </r>
    <r>
      <rPr>
        <sz val="11"/>
        <color theme="1"/>
        <rFont val="Calibri"/>
        <family val="2"/>
        <scheme val="minor"/>
      </rPr>
      <t xml:space="preserve"> </t>
    </r>
    <r>
      <rPr>
        <sz val="11"/>
        <color theme="1"/>
        <rFont val="Arial"/>
        <family val="2"/>
        <charset val="204"/>
      </rPr>
      <t>شخص- يبلغ من العمر 15-98 سنة- و</t>
    </r>
    <r>
      <rPr>
        <sz val="11"/>
        <color theme="1"/>
        <rFont val="Arial"/>
        <family val="2"/>
        <charset val="204"/>
      </rPr>
      <t>أقام مع</t>
    </r>
    <r>
      <rPr>
        <sz val="11"/>
        <color theme="1"/>
        <rFont val="Calibri"/>
        <family val="2"/>
        <scheme val="minor"/>
      </rPr>
      <t xml:space="preserve"> </t>
    </r>
    <r>
      <rPr>
        <sz val="11"/>
        <color theme="1"/>
        <rFont val="Arial"/>
        <family val="2"/>
        <charset val="204"/>
      </rPr>
      <t>الأسرة</t>
    </r>
    <r>
      <rPr>
        <sz val="11"/>
        <color theme="1"/>
        <rFont val="Calibri"/>
        <family val="2"/>
        <scheme val="minor"/>
      </rPr>
      <t xml:space="preserve"> 6 أشهر </t>
    </r>
    <r>
      <rPr>
        <sz val="11"/>
        <color theme="1"/>
        <rFont val="Arial"/>
        <family val="2"/>
        <charset val="204"/>
      </rPr>
      <t>على</t>
    </r>
    <r>
      <rPr>
        <sz val="11"/>
        <color theme="1"/>
        <rFont val="Calibri"/>
        <family val="2"/>
        <scheme val="minor"/>
      </rPr>
      <t xml:space="preserve"> </t>
    </r>
    <r>
      <rPr>
        <sz val="11"/>
        <color theme="1"/>
        <rFont val="Arial"/>
        <family val="2"/>
        <charset val="204"/>
      </rPr>
      <t>الأقلّ</t>
    </r>
    <r>
      <rPr>
        <sz val="11"/>
        <color theme="1"/>
        <rFont val="Calibri"/>
        <family val="2"/>
        <scheme val="minor"/>
      </rPr>
      <t xml:space="preserve"> </t>
    </r>
    <r>
      <rPr>
        <sz val="11"/>
        <color theme="1"/>
        <rFont val="Arial"/>
        <family val="2"/>
        <charset val="204"/>
      </rPr>
      <t>قبل</t>
    </r>
    <r>
      <rPr>
        <sz val="11"/>
        <color theme="1"/>
        <rFont val="Calibri"/>
        <family val="2"/>
        <scheme val="minor"/>
      </rPr>
      <t xml:space="preserve"> </t>
    </r>
    <r>
      <rPr>
        <sz val="11"/>
        <color theme="1"/>
        <rFont val="Arial"/>
        <family val="2"/>
        <charset val="204"/>
      </rPr>
      <t>السفر</t>
    </r>
    <r>
      <rPr>
        <sz val="11"/>
        <color theme="1"/>
        <rFont val="Calibri"/>
        <family val="2"/>
        <scheme val="minor"/>
      </rPr>
      <t/>
    </r>
  </si>
  <si>
    <r>
      <t xml:space="preserve"> 14.2 </t>
    </r>
    <r>
      <rPr>
        <sz val="11"/>
        <color theme="1"/>
        <rFont val="Arial"/>
        <family val="2"/>
        <charset val="204"/>
      </rPr>
      <t>تحويلات</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أفراد</t>
    </r>
    <r>
      <rPr>
        <sz val="11"/>
        <color theme="1"/>
        <rFont val="Calibri"/>
        <family val="2"/>
        <scheme val="minor"/>
      </rPr>
      <t xml:space="preserve">   </t>
    </r>
  </si>
  <si>
    <t xml:space="preserve">خلال الـ12 شهر الماضية، هل وصلت لأسرتك وأي من أفرادها أي تحويلات مالية أو عينية من أفراد من خارج الأسرة أو كانوا أعضاء سابقين بالأسرة، سواء من داخل أو خارج البلاد؟ مثل: أقارب يعيشون في مكان آخر، مصاريف أطفال، نفقة، إعانة من أصدقاء أو جيران  </t>
  </si>
  <si>
    <r>
      <rPr>
        <sz val="11"/>
        <color theme="1"/>
        <rFont val="Arial"/>
        <family val="2"/>
        <charset val="204"/>
      </rPr>
      <t>ما</t>
    </r>
    <r>
      <rPr>
        <sz val="11"/>
        <color theme="1"/>
        <rFont val="Calibri"/>
        <family val="2"/>
        <scheme val="minor"/>
      </rPr>
      <t xml:space="preserve"> </t>
    </r>
    <r>
      <rPr>
        <sz val="11"/>
        <color theme="1"/>
        <rFont val="Arial"/>
        <family val="2"/>
        <charset val="204"/>
      </rPr>
      <t>هو</t>
    </r>
    <r>
      <rPr>
        <sz val="11"/>
        <color theme="1"/>
        <rFont val="Calibri"/>
        <family val="2"/>
        <scheme val="minor"/>
      </rPr>
      <t xml:space="preserve"> </t>
    </r>
    <r>
      <rPr>
        <sz val="11"/>
        <color theme="1"/>
        <rFont val="Arial"/>
        <family val="2"/>
        <charset val="204"/>
      </rPr>
      <t>عدد</t>
    </r>
    <r>
      <rPr>
        <sz val="11"/>
        <color theme="1"/>
        <rFont val="Calibri"/>
        <family val="2"/>
        <scheme val="minor"/>
      </rPr>
      <t xml:space="preserve"> </t>
    </r>
    <r>
      <rPr>
        <sz val="11"/>
        <color theme="1"/>
        <rFont val="Arial"/>
        <family val="2"/>
        <charset val="204"/>
      </rPr>
      <t>الأفراد</t>
    </r>
    <r>
      <rPr>
        <sz val="11"/>
        <color theme="1"/>
        <rFont val="Calibri"/>
        <family val="2"/>
        <scheme val="minor"/>
      </rPr>
      <t xml:space="preserve"> </t>
    </r>
    <r>
      <rPr>
        <sz val="11"/>
        <color theme="1"/>
        <rFont val="Arial"/>
        <family val="2"/>
        <charset val="204"/>
      </rPr>
      <t>الذين</t>
    </r>
    <r>
      <rPr>
        <sz val="11"/>
        <color theme="1"/>
        <rFont val="Calibri"/>
        <family val="2"/>
        <scheme val="minor"/>
      </rPr>
      <t xml:space="preserve"> </t>
    </r>
    <r>
      <rPr>
        <sz val="11"/>
        <color theme="1"/>
        <rFont val="Arial"/>
        <family val="2"/>
        <charset val="204"/>
      </rPr>
      <t>قدموا</t>
    </r>
    <r>
      <rPr>
        <sz val="11"/>
        <color theme="1"/>
        <rFont val="Calibri"/>
        <family val="2"/>
        <scheme val="minor"/>
      </rPr>
      <t xml:space="preserve"> </t>
    </r>
    <r>
      <rPr>
        <sz val="11"/>
        <color theme="1"/>
        <rFont val="Arial"/>
        <family val="2"/>
        <charset val="204"/>
      </rPr>
      <t>مساعدات</t>
    </r>
    <r>
      <rPr>
        <sz val="11"/>
        <color theme="1"/>
        <rFont val="Calibri"/>
        <family val="2"/>
        <scheme val="minor"/>
      </rPr>
      <t xml:space="preserve"> </t>
    </r>
    <r>
      <rPr>
        <sz val="11"/>
        <color theme="1"/>
        <rFont val="Arial"/>
        <family val="2"/>
        <charset val="204"/>
      </rPr>
      <t>للأسرة</t>
    </r>
    <r>
      <rPr>
        <sz val="11"/>
        <color theme="1"/>
        <rFont val="Calibri"/>
        <family val="2"/>
        <scheme val="minor"/>
      </rPr>
      <t xml:space="preserve"> </t>
    </r>
    <r>
      <rPr>
        <sz val="11"/>
        <color theme="1"/>
        <rFont val="Arial"/>
        <family val="2"/>
        <charset val="204"/>
      </rPr>
      <t>خلال الـ</t>
    </r>
    <r>
      <rPr>
        <sz val="11"/>
        <color theme="1"/>
        <rFont val="Calibri"/>
        <family val="2"/>
        <scheme val="minor"/>
      </rPr>
      <t xml:space="preserve">12 </t>
    </r>
    <r>
      <rPr>
        <sz val="11"/>
        <color theme="1"/>
        <rFont val="Arial"/>
        <family val="2"/>
        <charset val="204"/>
      </rPr>
      <t>شهر</t>
    </r>
    <r>
      <rPr>
        <sz val="11"/>
        <color theme="1"/>
        <rFont val="Calibri"/>
        <family val="2"/>
        <scheme val="minor"/>
      </rPr>
      <t xml:space="preserve"> </t>
    </r>
    <r>
      <rPr>
        <sz val="11"/>
        <color theme="1"/>
        <rFont val="Arial"/>
        <family val="2"/>
        <charset val="204"/>
      </rPr>
      <t>الماضية؟</t>
    </r>
  </si>
  <si>
    <t xml:space="preserve">  أضف المانحين</t>
  </si>
  <si>
    <t>تعديل بيانات المانحين</t>
  </si>
  <si>
    <r>
      <rPr>
        <sz val="11"/>
        <rFont val="Arial"/>
        <family val="2"/>
        <charset val="204"/>
      </rPr>
      <t xml:space="preserve">خلال الـ12 شهر الماضية، هل تلقى أي فرد من أفراد الأسرة أي تحويلات من [مصدر] ؟  </t>
    </r>
    <r>
      <rPr>
        <sz val="11"/>
        <rFont val="Calibri"/>
        <family val="2"/>
        <scheme val="minor"/>
      </rPr>
      <t xml:space="preserve">
  </t>
    </r>
  </si>
  <si>
    <r>
      <rPr>
        <sz val="11"/>
        <rFont val="Arial"/>
        <family val="2"/>
        <charset val="204"/>
      </rPr>
      <t xml:space="preserve">ما هو متوسط المبلغ المحول من [مصدر]  في الشهر (بالجنيه) ؟  </t>
    </r>
    <r>
      <rPr>
        <sz val="11"/>
        <rFont val="Calibri"/>
        <family val="2"/>
        <scheme val="minor"/>
      </rPr>
      <t xml:space="preserve">
  </t>
    </r>
  </si>
  <si>
    <t>هل يتلقى شخص معين في الأسرة [مصدر]؟</t>
  </si>
  <si>
    <t xml:space="preserve">من من أفراد الأسرة يتلقى [مصدر]؟  أول فرد </t>
  </si>
  <si>
    <t>هل يتلقى شخص آخر في الأسرة [مصدر]؟</t>
  </si>
  <si>
    <t>من من أفراد الأسرة يتلقى [مصدر]؟  فرد ثانى</t>
  </si>
  <si>
    <t>من من أفراد الأسرة يتلقى [مصدر]؟  فرد ثالث</t>
  </si>
  <si>
    <t xml:space="preserve">مساعدات أخرى من وزارة التضامن الاجتماعي (غير كرامة أو تكافل) </t>
  </si>
  <si>
    <t>المساعدة من المنظمات غير الهادفة للربح والخيرية</t>
  </si>
  <si>
    <t>الدخل من فوائد أو أرباح الاستثمارات المالية</t>
  </si>
  <si>
    <t>مساعدات أخرى</t>
  </si>
  <si>
    <t>يسجل المبلغ بالجنيه
(فى حالة "لاأعرف" سجل 99998. إذا رفض الفرد الإجابة، اسأله على مبلغ تقريبى، إذا رفض الإفصاح عن مبلغ تقريبي، سجل 99996)</t>
  </si>
  <si>
    <t>لا يمكن اختيار نفس الفرد مرتين</t>
  </si>
  <si>
    <t>هل يملك ويدير أو يعمل أي من أفراد الأسرة في نشاط غير زراعي أو مشروع خاص بالأسرة يهدف الى إنتاج خدمة أو سلعة بغرض البيع؟</t>
  </si>
  <si>
    <t>ما هو عدد المشروعات الخاصة بالأسرة؟</t>
  </si>
  <si>
    <r>
      <rPr>
        <sz val="11"/>
        <color theme="1"/>
        <rFont val="Arial"/>
        <family val="2"/>
        <charset val="204"/>
      </rPr>
      <t>صف</t>
    </r>
    <r>
      <rPr>
        <sz val="11"/>
        <color theme="1"/>
        <rFont val="Calibri"/>
        <family val="2"/>
        <scheme val="minor"/>
      </rPr>
      <t xml:space="preserve"> </t>
    </r>
    <r>
      <rPr>
        <sz val="11"/>
        <color theme="1"/>
        <rFont val="Arial"/>
        <family val="2"/>
        <charset val="204"/>
      </rPr>
      <t>المشروعات</t>
    </r>
    <r>
      <rPr>
        <sz val="11"/>
        <color theme="1"/>
        <rFont val="Calibri"/>
        <family val="2"/>
        <scheme val="minor"/>
      </rPr>
      <t xml:space="preserve">: </t>
    </r>
  </si>
  <si>
    <r>
      <rPr>
        <sz val="11"/>
        <color theme="1"/>
        <rFont val="Arial"/>
        <family val="2"/>
        <charset val="204"/>
      </rPr>
      <t>عدل</t>
    </r>
    <r>
      <rPr>
        <sz val="11"/>
        <color theme="1"/>
        <rFont val="Calibri"/>
        <family val="2"/>
        <scheme val="minor"/>
      </rPr>
      <t xml:space="preserve"> </t>
    </r>
    <r>
      <rPr>
        <sz val="11"/>
        <color theme="1"/>
        <rFont val="Arial"/>
        <family val="2"/>
        <charset val="204"/>
      </rPr>
      <t>معلومات</t>
    </r>
    <r>
      <rPr>
        <sz val="11"/>
        <color theme="1"/>
        <rFont val="Calibri"/>
        <family val="2"/>
        <scheme val="minor"/>
      </rPr>
      <t xml:space="preserve"> </t>
    </r>
    <r>
      <rPr>
        <sz val="11"/>
        <color theme="1"/>
        <rFont val="Arial"/>
        <family val="2"/>
        <charset val="204"/>
      </rPr>
      <t>المشروعات:</t>
    </r>
  </si>
  <si>
    <r>
      <rPr>
        <sz val="11"/>
        <color theme="1"/>
        <rFont val="Arial"/>
        <family val="2"/>
        <charset val="204"/>
      </rPr>
      <t>يجب إستكمال</t>
    </r>
    <r>
      <rPr>
        <sz val="11"/>
        <color theme="1"/>
        <rFont val="Calibri"/>
        <family val="2"/>
        <scheme val="minor"/>
      </rPr>
      <t xml:space="preserve"> </t>
    </r>
    <r>
      <rPr>
        <sz val="11"/>
        <color theme="1"/>
        <rFont val="Arial"/>
        <family val="2"/>
        <charset val="204"/>
      </rPr>
      <t>بيانات جميع المشروعات</t>
    </r>
  </si>
  <si>
    <t>هل يمتلك أو يستأجر أي من أفراد الأسرة أي أراضي زراعية (تشمل أراضي خارج هذه المنطقة)؟</t>
  </si>
  <si>
    <t>هل يمتلك أي من أفراد الأسرة أي أراضي زراعية؟</t>
  </si>
  <si>
    <r>
      <rPr>
        <sz val="11"/>
        <color theme="1"/>
        <rFont val="Arial"/>
        <family val="2"/>
        <charset val="204"/>
      </rPr>
      <t>كم</t>
    </r>
    <r>
      <rPr>
        <sz val="11"/>
        <color theme="1"/>
        <rFont val="Calibri"/>
        <family val="2"/>
        <scheme val="minor"/>
      </rPr>
      <t xml:space="preserve"> </t>
    </r>
    <r>
      <rPr>
        <sz val="11"/>
        <color theme="1"/>
        <rFont val="Arial"/>
        <family val="2"/>
        <charset val="204"/>
      </rPr>
      <t>عدد</t>
    </r>
    <r>
      <rPr>
        <sz val="11"/>
        <color theme="1"/>
        <rFont val="Calibri"/>
        <family val="2"/>
        <scheme val="minor"/>
      </rPr>
      <t xml:space="preserve"> </t>
    </r>
    <r>
      <rPr>
        <sz val="11"/>
        <color theme="1"/>
        <rFont val="Arial"/>
        <family val="2"/>
        <charset val="204"/>
      </rPr>
      <t>قطع</t>
    </r>
    <r>
      <rPr>
        <sz val="11"/>
        <color theme="1"/>
        <rFont val="Calibri"/>
        <family val="2"/>
        <scheme val="minor"/>
      </rPr>
      <t xml:space="preserve"> </t>
    </r>
    <r>
      <rPr>
        <sz val="11"/>
        <color theme="1"/>
        <rFont val="Arial"/>
        <family val="2"/>
        <charset val="204"/>
      </rPr>
      <t>الاراضي</t>
    </r>
    <r>
      <rPr>
        <sz val="11"/>
        <color theme="1"/>
        <rFont val="Calibri"/>
        <family val="2"/>
        <scheme val="minor"/>
      </rPr>
      <t xml:space="preserve"> </t>
    </r>
    <r>
      <rPr>
        <sz val="11"/>
        <color theme="1"/>
        <rFont val="Arial"/>
        <family val="2"/>
        <charset val="204"/>
      </rPr>
      <t>التي</t>
    </r>
    <r>
      <rPr>
        <sz val="11"/>
        <color theme="1"/>
        <rFont val="Calibri"/>
        <family val="2"/>
        <scheme val="minor"/>
      </rPr>
      <t xml:space="preserve"> </t>
    </r>
    <r>
      <rPr>
        <sz val="11"/>
        <color theme="1"/>
        <rFont val="Arial"/>
        <family val="2"/>
        <charset val="204"/>
      </rPr>
      <t>تمتلكها</t>
    </r>
    <r>
      <rPr>
        <sz val="11"/>
        <color theme="1"/>
        <rFont val="Calibri"/>
        <family val="2"/>
        <scheme val="minor"/>
      </rPr>
      <t xml:space="preserve"> </t>
    </r>
    <r>
      <rPr>
        <sz val="11"/>
        <color theme="1"/>
        <rFont val="Arial"/>
        <family val="2"/>
        <charset val="204"/>
      </rPr>
      <t>الأسرة؟</t>
    </r>
  </si>
  <si>
    <r>
      <rPr>
        <sz val="11"/>
        <color theme="1"/>
        <rFont val="Arial"/>
        <family val="2"/>
        <charset val="204"/>
      </rPr>
      <t>للباحث</t>
    </r>
    <r>
      <rPr>
        <sz val="11"/>
        <color theme="1"/>
        <rFont val="Calibri"/>
        <family val="2"/>
        <scheme val="minor"/>
      </rPr>
      <t xml:space="preserve">:  </t>
    </r>
    <r>
      <rPr>
        <sz val="11"/>
        <color theme="1"/>
        <rFont val="Arial"/>
        <family val="2"/>
        <charset val="204"/>
      </rPr>
      <t>يمكن</t>
    </r>
    <r>
      <rPr>
        <sz val="11"/>
        <color theme="1"/>
        <rFont val="Calibri"/>
        <family val="2"/>
        <scheme val="minor"/>
      </rPr>
      <t xml:space="preserve"> </t>
    </r>
    <r>
      <rPr>
        <sz val="11"/>
        <color theme="1"/>
        <rFont val="Arial"/>
        <family val="2"/>
        <charset val="204"/>
      </rPr>
      <t>تجميع</t>
    </r>
    <r>
      <rPr>
        <sz val="11"/>
        <color theme="1"/>
        <rFont val="Calibri"/>
        <family val="2"/>
        <scheme val="minor"/>
      </rPr>
      <t xml:space="preserve"> </t>
    </r>
    <r>
      <rPr>
        <sz val="11"/>
        <color theme="1"/>
        <rFont val="Arial"/>
        <family val="2"/>
        <charset val="204"/>
      </rPr>
      <t>كل</t>
    </r>
    <r>
      <rPr>
        <sz val="11"/>
        <color theme="1"/>
        <rFont val="Calibri"/>
        <family val="2"/>
        <scheme val="minor"/>
      </rPr>
      <t xml:space="preserve"> </t>
    </r>
    <r>
      <rPr>
        <sz val="11"/>
        <color theme="1"/>
        <rFont val="Arial"/>
        <family val="2"/>
        <charset val="204"/>
      </rPr>
      <t>الأراضي</t>
    </r>
    <r>
      <rPr>
        <sz val="11"/>
        <color theme="1"/>
        <rFont val="Calibri"/>
        <family val="2"/>
        <scheme val="minor"/>
      </rPr>
      <t xml:space="preserve"> </t>
    </r>
    <r>
      <rPr>
        <sz val="11"/>
        <color theme="1"/>
        <rFont val="Arial"/>
        <family val="2"/>
        <charset val="204"/>
      </rPr>
      <t>المملوكة</t>
    </r>
    <r>
      <rPr>
        <sz val="11"/>
        <color theme="1"/>
        <rFont val="Calibri"/>
        <family val="2"/>
        <scheme val="minor"/>
      </rPr>
      <t xml:space="preserve"> </t>
    </r>
    <r>
      <rPr>
        <sz val="11"/>
        <color theme="1"/>
        <rFont val="Arial"/>
        <family val="2"/>
        <charset val="204"/>
      </rPr>
      <t>في</t>
    </r>
    <r>
      <rPr>
        <sz val="11"/>
        <color theme="1"/>
        <rFont val="Calibri"/>
        <family val="2"/>
        <scheme val="minor"/>
      </rPr>
      <t xml:space="preserve"> </t>
    </r>
    <r>
      <rPr>
        <sz val="11"/>
        <color theme="1"/>
        <rFont val="Arial"/>
        <family val="2"/>
        <charset val="204"/>
      </rPr>
      <t>بند</t>
    </r>
    <r>
      <rPr>
        <sz val="11"/>
        <color theme="1"/>
        <rFont val="Calibri"/>
        <family val="2"/>
        <scheme val="minor"/>
      </rPr>
      <t xml:space="preserve"> </t>
    </r>
    <r>
      <rPr>
        <sz val="11"/>
        <color theme="1"/>
        <rFont val="Arial"/>
        <family val="2"/>
        <charset val="204"/>
      </rPr>
      <t>واحد</t>
    </r>
    <r>
      <rPr>
        <sz val="11"/>
        <color theme="1"/>
        <rFont val="Calibri"/>
        <family val="2"/>
        <scheme val="minor"/>
      </rPr>
      <t xml:space="preserve"> </t>
    </r>
    <r>
      <rPr>
        <sz val="11"/>
        <color theme="1"/>
        <rFont val="Arial"/>
        <family val="2"/>
        <charset val="204"/>
      </rPr>
      <t>والأراضي</t>
    </r>
    <r>
      <rPr>
        <sz val="11"/>
        <color theme="1"/>
        <rFont val="Calibri"/>
        <family val="2"/>
        <scheme val="minor"/>
      </rPr>
      <t xml:space="preserve"> </t>
    </r>
    <r>
      <rPr>
        <sz val="11"/>
        <color theme="1"/>
        <rFont val="Arial"/>
        <family val="2"/>
        <charset val="204"/>
      </rPr>
      <t>المستأجرة</t>
    </r>
    <r>
      <rPr>
        <sz val="11"/>
        <color theme="1"/>
        <rFont val="Calibri"/>
        <family val="2"/>
        <scheme val="minor"/>
      </rPr>
      <t xml:space="preserve"> </t>
    </r>
    <r>
      <rPr>
        <sz val="11"/>
        <color theme="1"/>
        <rFont val="Arial"/>
        <family val="2"/>
        <charset val="204"/>
      </rPr>
      <t>في</t>
    </r>
    <r>
      <rPr>
        <sz val="11"/>
        <color theme="1"/>
        <rFont val="Calibri"/>
        <family val="2"/>
        <scheme val="minor"/>
      </rPr>
      <t xml:space="preserve"> </t>
    </r>
    <r>
      <rPr>
        <sz val="11"/>
        <color theme="1"/>
        <rFont val="Arial"/>
        <family val="2"/>
        <charset val="204"/>
      </rPr>
      <t>بند</t>
    </r>
    <r>
      <rPr>
        <sz val="11"/>
        <color theme="1"/>
        <rFont val="Calibri"/>
        <family val="2"/>
        <scheme val="minor"/>
      </rPr>
      <t xml:space="preserve"> </t>
    </r>
    <r>
      <rPr>
        <sz val="11"/>
        <color theme="1"/>
        <rFont val="Arial"/>
        <family val="2"/>
        <charset val="204"/>
      </rPr>
      <t>آخر</t>
    </r>
    <r>
      <rPr>
        <sz val="11"/>
        <color theme="1"/>
        <rFont val="Calibri"/>
        <family val="2"/>
        <scheme val="minor"/>
      </rPr>
      <t xml:space="preserve">. </t>
    </r>
    <r>
      <rPr>
        <sz val="11"/>
        <color theme="1"/>
        <rFont val="Arial"/>
        <family val="2"/>
        <charset val="204"/>
      </rPr>
      <t>تعتبر</t>
    </r>
    <r>
      <rPr>
        <sz val="11"/>
        <color theme="1"/>
        <rFont val="Calibri"/>
        <family val="2"/>
        <scheme val="minor"/>
      </rPr>
      <t xml:space="preserve"> </t>
    </r>
    <r>
      <rPr>
        <sz val="11"/>
        <color theme="1"/>
        <rFont val="Arial"/>
        <family val="2"/>
        <charset val="204"/>
      </rPr>
      <t>الأراضي</t>
    </r>
    <r>
      <rPr>
        <sz val="11"/>
        <color theme="1"/>
        <rFont val="Calibri"/>
        <family val="2"/>
        <scheme val="minor"/>
      </rPr>
      <t xml:space="preserve"> </t>
    </r>
    <r>
      <rPr>
        <sz val="11"/>
        <color theme="1"/>
        <rFont val="Arial"/>
        <family val="2"/>
        <charset val="204"/>
      </rPr>
      <t>التي</t>
    </r>
    <r>
      <rPr>
        <sz val="11"/>
        <color theme="1"/>
        <rFont val="Calibri"/>
        <family val="2"/>
        <scheme val="minor"/>
      </rPr>
      <t xml:space="preserve"> </t>
    </r>
    <r>
      <rPr>
        <sz val="11"/>
        <color theme="1"/>
        <rFont val="Arial"/>
        <family val="2"/>
        <charset val="204"/>
      </rPr>
      <t>تقوم الأسرة</t>
    </r>
    <r>
      <rPr>
        <sz val="11"/>
        <color theme="1"/>
        <rFont val="Calibri"/>
        <family val="2"/>
        <scheme val="minor"/>
      </rPr>
      <t xml:space="preserve"> </t>
    </r>
    <r>
      <rPr>
        <sz val="11"/>
        <color theme="1"/>
        <rFont val="Arial"/>
        <family val="2"/>
        <charset val="204"/>
      </rPr>
      <t>بتأجيرها</t>
    </r>
    <r>
      <rPr>
        <sz val="11"/>
        <color theme="1"/>
        <rFont val="Calibri"/>
        <family val="2"/>
        <scheme val="minor"/>
      </rPr>
      <t xml:space="preserve"> </t>
    </r>
    <r>
      <rPr>
        <sz val="11"/>
        <color theme="1"/>
        <rFont val="Arial"/>
        <family val="2"/>
        <charset val="204"/>
      </rPr>
      <t>للغير</t>
    </r>
    <r>
      <rPr>
        <sz val="11"/>
        <color theme="1"/>
        <rFont val="Calibri"/>
        <family val="2"/>
        <scheme val="minor"/>
      </rPr>
      <t xml:space="preserve"> </t>
    </r>
    <r>
      <rPr>
        <sz val="11"/>
        <color theme="1"/>
        <rFont val="Arial"/>
        <family val="2"/>
        <charset val="204"/>
      </rPr>
      <t>جزء</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الأراضي</t>
    </r>
    <r>
      <rPr>
        <sz val="11"/>
        <color theme="1"/>
        <rFont val="Calibri"/>
        <family val="2"/>
        <scheme val="minor"/>
      </rPr>
      <t xml:space="preserve"> </t>
    </r>
    <r>
      <rPr>
        <sz val="11"/>
        <color theme="1"/>
        <rFont val="Arial"/>
        <family val="2"/>
        <charset val="204"/>
      </rPr>
      <t>المملوكة</t>
    </r>
    <r>
      <rPr>
        <sz val="11"/>
        <color theme="1"/>
        <rFont val="Calibri"/>
        <family val="2"/>
        <scheme val="minor"/>
      </rPr>
      <t xml:space="preserve">
</t>
    </r>
  </si>
  <si>
    <t>ما إجمالي مساحة الأراضى المملوكة؟</t>
  </si>
  <si>
    <r>
      <rPr>
        <sz val="11"/>
        <color theme="1"/>
        <rFont val="Arial"/>
        <family val="2"/>
        <charset val="204"/>
      </rPr>
      <t>هل</t>
    </r>
    <r>
      <rPr>
        <sz val="11"/>
        <color theme="1"/>
        <rFont val="Calibri"/>
        <family val="2"/>
        <scheme val="minor"/>
      </rPr>
      <t xml:space="preserve"> اشترت أو ورثت الأسرة أو أهدي إليها </t>
    </r>
    <r>
      <rPr>
        <sz val="11"/>
        <color theme="1"/>
        <rFont val="Arial"/>
        <family val="2"/>
        <charset val="204"/>
      </rPr>
      <t>أي</t>
    </r>
    <r>
      <rPr>
        <sz val="11"/>
        <color theme="1"/>
        <rFont val="Calibri"/>
        <family val="2"/>
        <scheme val="minor"/>
      </rPr>
      <t xml:space="preserve"> </t>
    </r>
    <r>
      <rPr>
        <sz val="11"/>
        <color theme="1"/>
        <rFont val="Arial"/>
        <family val="2"/>
        <charset val="204"/>
      </rPr>
      <t>أراضي</t>
    </r>
    <r>
      <rPr>
        <sz val="11"/>
        <color theme="1"/>
        <rFont val="Calibri"/>
        <family val="2"/>
        <scheme val="minor"/>
      </rPr>
      <t xml:space="preserve"> </t>
    </r>
    <r>
      <rPr>
        <sz val="11"/>
        <color theme="1"/>
        <rFont val="Arial"/>
        <family val="2"/>
        <charset val="204"/>
      </rPr>
      <t>خلال الـ</t>
    </r>
    <r>
      <rPr>
        <sz val="11"/>
        <color theme="1"/>
        <rFont val="Calibri"/>
        <family val="2"/>
        <scheme val="minor"/>
      </rPr>
      <t xml:space="preserve">12 </t>
    </r>
    <r>
      <rPr>
        <sz val="11"/>
        <color theme="1"/>
        <rFont val="Arial"/>
        <family val="2"/>
        <charset val="204"/>
      </rPr>
      <t>شهر</t>
    </r>
    <r>
      <rPr>
        <sz val="11"/>
        <color theme="1"/>
        <rFont val="Calibri"/>
        <family val="2"/>
        <scheme val="minor"/>
      </rPr>
      <t xml:space="preserve"> </t>
    </r>
    <r>
      <rPr>
        <sz val="11"/>
        <color theme="1"/>
        <rFont val="Arial"/>
        <family val="2"/>
        <charset val="204"/>
      </rPr>
      <t>الماضية؟</t>
    </r>
  </si>
  <si>
    <r>
      <rPr>
        <sz val="11"/>
        <color theme="1"/>
        <rFont val="Arial"/>
        <family val="2"/>
        <charset val="204"/>
      </rPr>
      <t>ما</t>
    </r>
    <r>
      <rPr>
        <sz val="11"/>
        <color theme="1"/>
        <rFont val="Calibri"/>
        <family val="2"/>
        <scheme val="minor"/>
      </rPr>
      <t xml:space="preserve"> </t>
    </r>
    <r>
      <rPr>
        <sz val="11"/>
        <color theme="1"/>
        <rFont val="Arial"/>
        <family val="2"/>
        <charset val="204"/>
      </rPr>
      <t>مساحة</t>
    </r>
    <r>
      <rPr>
        <sz val="11"/>
        <color theme="1"/>
        <rFont val="Calibri"/>
        <family val="2"/>
        <scheme val="minor"/>
      </rPr>
      <t xml:space="preserve"> </t>
    </r>
    <r>
      <rPr>
        <sz val="11"/>
        <color theme="1"/>
        <rFont val="Arial"/>
        <family val="2"/>
        <charset val="204"/>
      </rPr>
      <t>الأراضي</t>
    </r>
    <r>
      <rPr>
        <sz val="11"/>
        <color theme="1"/>
        <rFont val="Calibri"/>
        <family val="2"/>
        <scheme val="minor"/>
      </rPr>
      <t xml:space="preserve"> </t>
    </r>
    <r>
      <rPr>
        <sz val="11"/>
        <color theme="1"/>
        <rFont val="Arial"/>
        <family val="2"/>
        <charset val="204"/>
      </rPr>
      <t>التي</t>
    </r>
    <r>
      <rPr>
        <sz val="11"/>
        <color theme="1"/>
        <rFont val="Calibri"/>
        <family val="2"/>
        <scheme val="minor"/>
      </rPr>
      <t xml:space="preserve"> </t>
    </r>
    <r>
      <rPr>
        <sz val="11"/>
        <color theme="1"/>
        <rFont val="Arial"/>
        <family val="2"/>
        <charset val="204"/>
      </rPr>
      <t>تم</t>
    </r>
    <r>
      <rPr>
        <sz val="11"/>
        <color theme="1"/>
        <rFont val="Calibri"/>
        <family val="2"/>
        <scheme val="minor"/>
      </rPr>
      <t xml:space="preserve"> </t>
    </r>
    <r>
      <rPr>
        <sz val="11"/>
        <color theme="1"/>
        <rFont val="Arial"/>
        <family val="2"/>
        <charset val="204"/>
      </rPr>
      <t>شراؤها</t>
    </r>
    <r>
      <rPr>
        <sz val="11"/>
        <color theme="1"/>
        <rFont val="Calibri"/>
        <family val="2"/>
        <scheme val="minor"/>
      </rPr>
      <t xml:space="preserve"> أو </t>
    </r>
    <r>
      <rPr>
        <sz val="11"/>
        <color theme="1"/>
        <rFont val="Arial"/>
        <family val="2"/>
        <charset val="204"/>
      </rPr>
      <t>الحصول</t>
    </r>
    <r>
      <rPr>
        <sz val="11"/>
        <color theme="1"/>
        <rFont val="Calibri"/>
        <family val="2"/>
        <scheme val="minor"/>
      </rPr>
      <t xml:space="preserve"> </t>
    </r>
    <r>
      <rPr>
        <sz val="11"/>
        <color theme="1"/>
        <rFont val="Arial"/>
        <family val="2"/>
        <charset val="204"/>
      </rPr>
      <t>عليها</t>
    </r>
    <r>
      <rPr>
        <sz val="11"/>
        <color theme="1"/>
        <rFont val="Calibri"/>
        <family val="2"/>
        <scheme val="minor"/>
      </rPr>
      <t xml:space="preserve"> </t>
    </r>
    <r>
      <rPr>
        <sz val="11"/>
        <color theme="1"/>
        <rFont val="Arial"/>
        <family val="2"/>
        <charset val="204"/>
      </rPr>
      <t>كهبة</t>
    </r>
    <r>
      <rPr>
        <sz val="11"/>
        <color theme="1"/>
        <rFont val="Calibri"/>
        <family val="2"/>
        <scheme val="minor"/>
      </rPr>
      <t>/إرث</t>
    </r>
    <r>
      <rPr>
        <sz val="11"/>
        <color theme="1"/>
        <rFont val="Arial"/>
        <family val="2"/>
        <charset val="204"/>
      </rPr>
      <t>؟</t>
    </r>
    <r>
      <rPr>
        <sz val="11"/>
        <color theme="1"/>
        <rFont val="Calibri"/>
        <family val="2"/>
        <scheme val="minor"/>
      </rPr>
      <t xml:space="preserve">
</t>
    </r>
  </si>
  <si>
    <r>
      <rPr>
        <sz val="11"/>
        <color theme="1"/>
        <rFont val="Arial"/>
        <family val="2"/>
        <charset val="204"/>
      </rPr>
      <t>هل</t>
    </r>
    <r>
      <rPr>
        <sz val="11"/>
        <color theme="1"/>
        <rFont val="Calibri"/>
        <family val="2"/>
        <scheme val="minor"/>
      </rPr>
      <t xml:space="preserve"> </t>
    </r>
    <r>
      <rPr>
        <sz val="11"/>
        <color theme="1"/>
        <rFont val="Arial"/>
        <family val="2"/>
        <charset val="204"/>
      </rPr>
      <t>تمّ</t>
    </r>
    <r>
      <rPr>
        <sz val="11"/>
        <color theme="1"/>
        <rFont val="Calibri"/>
        <family val="2"/>
        <scheme val="minor"/>
      </rPr>
      <t xml:space="preserve"> </t>
    </r>
    <r>
      <rPr>
        <sz val="11"/>
        <color theme="1"/>
        <rFont val="Arial"/>
        <family val="2"/>
        <charset val="204"/>
      </rPr>
      <t>بيع</t>
    </r>
    <r>
      <rPr>
        <sz val="11"/>
        <color theme="1"/>
        <rFont val="Calibri"/>
        <family val="2"/>
        <scheme val="minor"/>
      </rPr>
      <t xml:space="preserve"> </t>
    </r>
    <r>
      <rPr>
        <sz val="11"/>
        <color theme="1"/>
        <rFont val="Arial"/>
        <family val="2"/>
        <charset val="204"/>
      </rPr>
      <t>أو</t>
    </r>
    <r>
      <rPr>
        <sz val="11"/>
        <color theme="1"/>
        <rFont val="Calibri"/>
        <family val="2"/>
        <scheme val="minor"/>
      </rPr>
      <t xml:space="preserve"> </t>
    </r>
    <r>
      <rPr>
        <sz val="11"/>
        <color theme="1"/>
        <rFont val="Arial"/>
        <family val="2"/>
        <charset val="204"/>
      </rPr>
      <t>التصرّف</t>
    </r>
    <r>
      <rPr>
        <sz val="11"/>
        <color theme="1"/>
        <rFont val="Calibri"/>
        <family val="2"/>
        <scheme val="minor"/>
      </rPr>
      <t xml:space="preserve"> </t>
    </r>
    <r>
      <rPr>
        <sz val="11"/>
        <color theme="1"/>
        <rFont val="Arial"/>
        <family val="2"/>
        <charset val="204"/>
      </rPr>
      <t>في</t>
    </r>
    <r>
      <rPr>
        <sz val="11"/>
        <color theme="1"/>
        <rFont val="Calibri"/>
        <family val="2"/>
        <scheme val="minor"/>
      </rPr>
      <t xml:space="preserve"> </t>
    </r>
    <r>
      <rPr>
        <sz val="11"/>
        <color theme="1"/>
        <rFont val="Arial"/>
        <family val="2"/>
        <charset val="204"/>
      </rPr>
      <t>أي</t>
    </r>
    <r>
      <rPr>
        <sz val="11"/>
        <color theme="1"/>
        <rFont val="Calibri"/>
        <family val="2"/>
        <scheme val="minor"/>
      </rPr>
      <t xml:space="preserve"> </t>
    </r>
    <r>
      <rPr>
        <sz val="11"/>
        <color theme="1"/>
        <rFont val="Arial"/>
        <family val="2"/>
        <charset val="204"/>
      </rPr>
      <t>أراضي</t>
    </r>
    <r>
      <rPr>
        <sz val="11"/>
        <color theme="1"/>
        <rFont val="Calibri"/>
        <family val="2"/>
        <scheme val="minor"/>
      </rPr>
      <t xml:space="preserve"> </t>
    </r>
    <r>
      <rPr>
        <sz val="11"/>
        <color theme="1"/>
        <rFont val="Arial"/>
        <family val="2"/>
        <charset val="204"/>
      </rPr>
      <t>خلال الـ</t>
    </r>
    <r>
      <rPr>
        <sz val="11"/>
        <color theme="1"/>
        <rFont val="Calibri"/>
        <family val="2"/>
        <scheme val="minor"/>
      </rPr>
      <t xml:space="preserve">12 </t>
    </r>
    <r>
      <rPr>
        <sz val="11"/>
        <color theme="1"/>
        <rFont val="Arial"/>
        <family val="2"/>
        <charset val="204"/>
      </rPr>
      <t>شهر</t>
    </r>
    <r>
      <rPr>
        <sz val="11"/>
        <color theme="1"/>
        <rFont val="Calibri"/>
        <family val="2"/>
        <scheme val="minor"/>
      </rPr>
      <t xml:space="preserve"> </t>
    </r>
    <r>
      <rPr>
        <sz val="11"/>
        <color theme="1"/>
        <rFont val="Arial"/>
        <family val="2"/>
        <charset val="204"/>
      </rPr>
      <t>الماضية؟</t>
    </r>
    <r>
      <rPr>
        <sz val="11"/>
        <color theme="1"/>
        <rFont val="Calibri"/>
        <family val="2"/>
        <scheme val="minor"/>
      </rPr>
      <t xml:space="preserve">  </t>
    </r>
  </si>
  <si>
    <r>
      <rPr>
        <sz val="11"/>
        <color theme="1"/>
        <rFont val="Arial"/>
        <family val="2"/>
        <charset val="204"/>
      </rPr>
      <t>هل</t>
    </r>
    <r>
      <rPr>
        <sz val="11"/>
        <color theme="1"/>
        <rFont val="Calibri"/>
        <family val="2"/>
        <scheme val="minor"/>
      </rPr>
      <t xml:space="preserve"> </t>
    </r>
    <r>
      <rPr>
        <sz val="11"/>
        <color theme="1"/>
        <rFont val="Arial"/>
        <family val="2"/>
        <charset val="204"/>
      </rPr>
      <t>تمّ</t>
    </r>
    <r>
      <rPr>
        <sz val="11"/>
        <color theme="1"/>
        <rFont val="Calibri"/>
        <family val="2"/>
        <scheme val="minor"/>
      </rPr>
      <t xml:space="preserve"> </t>
    </r>
    <r>
      <rPr>
        <sz val="11"/>
        <color theme="1"/>
        <rFont val="Arial"/>
        <family val="2"/>
        <charset val="204"/>
      </rPr>
      <t>تأجير</t>
    </r>
    <r>
      <rPr>
        <sz val="11"/>
        <color theme="1"/>
        <rFont val="Calibri"/>
        <family val="2"/>
        <scheme val="minor"/>
      </rPr>
      <t xml:space="preserve"> </t>
    </r>
    <r>
      <rPr>
        <sz val="11"/>
        <color theme="1"/>
        <rFont val="Arial"/>
        <family val="2"/>
        <charset val="204"/>
      </rPr>
      <t>أي</t>
    </r>
    <r>
      <rPr>
        <sz val="11"/>
        <color theme="1"/>
        <rFont val="Calibri"/>
        <family val="2"/>
        <scheme val="minor"/>
      </rPr>
      <t xml:space="preserve"> </t>
    </r>
    <r>
      <rPr>
        <sz val="11"/>
        <color theme="1"/>
        <rFont val="Arial"/>
        <family val="2"/>
        <charset val="204"/>
      </rPr>
      <t>أراضي</t>
    </r>
    <r>
      <rPr>
        <sz val="11"/>
        <color theme="1"/>
        <rFont val="Calibri"/>
        <family val="2"/>
        <scheme val="minor"/>
      </rPr>
      <t xml:space="preserve"> </t>
    </r>
    <r>
      <rPr>
        <sz val="11"/>
        <color theme="1"/>
        <rFont val="Arial"/>
        <family val="2"/>
        <charset val="204"/>
      </rPr>
      <t>خلال</t>
    </r>
    <r>
      <rPr>
        <sz val="11"/>
        <color theme="1"/>
        <rFont val="Calibri"/>
        <family val="2"/>
        <scheme val="minor"/>
      </rPr>
      <t xml:space="preserve"> </t>
    </r>
    <r>
      <rPr>
        <sz val="11"/>
        <color theme="1"/>
        <rFont val="Arial"/>
        <family val="2"/>
        <charset val="204"/>
      </rPr>
      <t>الـ</t>
    </r>
    <r>
      <rPr>
        <sz val="11"/>
        <color theme="1"/>
        <rFont val="Calibri"/>
        <family val="2"/>
        <scheme val="minor"/>
      </rPr>
      <t xml:space="preserve">12 </t>
    </r>
    <r>
      <rPr>
        <sz val="11"/>
        <color theme="1"/>
        <rFont val="Arial"/>
        <family val="2"/>
        <charset val="204"/>
      </rPr>
      <t>شهر</t>
    </r>
    <r>
      <rPr>
        <sz val="11"/>
        <color theme="1"/>
        <rFont val="Calibri"/>
        <family val="2"/>
        <scheme val="minor"/>
      </rPr>
      <t xml:space="preserve"> </t>
    </r>
    <r>
      <rPr>
        <sz val="11"/>
        <color theme="1"/>
        <rFont val="Arial"/>
        <family val="2"/>
        <charset val="204"/>
      </rPr>
      <t>الماضية؟</t>
    </r>
  </si>
  <si>
    <r>
      <rPr>
        <sz val="11"/>
        <color theme="1"/>
        <rFont val="Arial"/>
        <family val="2"/>
        <charset val="204"/>
      </rPr>
      <t>ما</t>
    </r>
    <r>
      <rPr>
        <sz val="11"/>
        <color theme="1"/>
        <rFont val="Calibri"/>
        <family val="2"/>
        <scheme val="minor"/>
      </rPr>
      <t xml:space="preserve"> </t>
    </r>
    <r>
      <rPr>
        <sz val="11"/>
        <color theme="1"/>
        <rFont val="Arial"/>
        <family val="2"/>
        <charset val="204"/>
      </rPr>
      <t>مساحة</t>
    </r>
    <r>
      <rPr>
        <sz val="11"/>
        <color theme="1"/>
        <rFont val="Calibri"/>
        <family val="2"/>
        <scheme val="minor"/>
      </rPr>
      <t xml:space="preserve"> </t>
    </r>
    <r>
      <rPr>
        <sz val="11"/>
        <color theme="1"/>
        <rFont val="Arial"/>
        <family val="2"/>
        <charset val="204"/>
      </rPr>
      <t>الأراضي</t>
    </r>
    <r>
      <rPr>
        <sz val="11"/>
        <color theme="1"/>
        <rFont val="Calibri"/>
        <family val="2"/>
        <scheme val="minor"/>
      </rPr>
      <t xml:space="preserve"> </t>
    </r>
    <r>
      <rPr>
        <sz val="11"/>
        <color theme="1"/>
        <rFont val="Arial"/>
        <family val="2"/>
        <charset val="204"/>
      </rPr>
      <t>التي</t>
    </r>
    <r>
      <rPr>
        <sz val="11"/>
        <color theme="1"/>
        <rFont val="Calibri"/>
        <family val="2"/>
        <scheme val="minor"/>
      </rPr>
      <t xml:space="preserve"> </t>
    </r>
    <r>
      <rPr>
        <sz val="11"/>
        <color theme="1"/>
        <rFont val="Arial"/>
        <family val="2"/>
        <charset val="204"/>
      </rPr>
      <t>تم</t>
    </r>
    <r>
      <rPr>
        <sz val="11"/>
        <color theme="1"/>
        <rFont val="Calibri"/>
        <family val="2"/>
        <scheme val="minor"/>
      </rPr>
      <t xml:space="preserve"> </t>
    </r>
    <r>
      <rPr>
        <sz val="11"/>
        <color theme="1"/>
        <rFont val="Arial"/>
        <family val="2"/>
        <charset val="204"/>
      </rPr>
      <t>تأجيرها</t>
    </r>
    <r>
      <rPr>
        <sz val="11"/>
        <color theme="1"/>
        <rFont val="Calibri"/>
        <family val="2"/>
        <scheme val="minor"/>
      </rPr>
      <t xml:space="preserve"> </t>
    </r>
    <r>
      <rPr>
        <sz val="11"/>
        <color theme="1"/>
        <rFont val="Arial"/>
        <family val="2"/>
        <charset val="204"/>
      </rPr>
      <t>خلص</t>
    </r>
    <r>
      <rPr>
        <sz val="11"/>
        <color theme="1"/>
        <rFont val="Calibri"/>
        <family val="2"/>
        <scheme val="minor"/>
      </rPr>
      <t xml:space="preserve"> </t>
    </r>
    <r>
      <rPr>
        <sz val="11"/>
        <color theme="1"/>
        <rFont val="Arial"/>
        <family val="2"/>
        <charset val="204"/>
      </rPr>
      <t>خلال</t>
    </r>
    <r>
      <rPr>
        <sz val="11"/>
        <color theme="1"/>
        <rFont val="Calibri"/>
        <family val="2"/>
        <scheme val="minor"/>
      </rPr>
      <t xml:space="preserve"> </t>
    </r>
    <r>
      <rPr>
        <sz val="11"/>
        <color theme="1"/>
        <rFont val="Arial"/>
        <family val="2"/>
        <charset val="204"/>
      </rPr>
      <t>الـ</t>
    </r>
    <r>
      <rPr>
        <sz val="11"/>
        <color theme="1"/>
        <rFont val="Calibri"/>
        <family val="2"/>
        <scheme val="minor"/>
      </rPr>
      <t xml:space="preserve">12 </t>
    </r>
    <r>
      <rPr>
        <sz val="11"/>
        <color theme="1"/>
        <rFont val="Arial"/>
        <family val="2"/>
        <charset val="204"/>
      </rPr>
      <t>شهر</t>
    </r>
    <r>
      <rPr>
        <sz val="11"/>
        <color theme="1"/>
        <rFont val="Calibri"/>
        <family val="2"/>
        <scheme val="minor"/>
      </rPr>
      <t xml:space="preserve"> </t>
    </r>
    <r>
      <rPr>
        <sz val="11"/>
        <color theme="1"/>
        <rFont val="Arial"/>
        <family val="2"/>
        <charset val="204"/>
      </rPr>
      <t>الماضية؟</t>
    </r>
  </si>
  <si>
    <r>
      <rPr>
        <sz val="11"/>
        <color theme="1"/>
        <rFont val="Arial"/>
        <family val="2"/>
        <charset val="204"/>
      </rPr>
      <t>ما</t>
    </r>
    <r>
      <rPr>
        <sz val="11"/>
        <color theme="1"/>
        <rFont val="Calibri"/>
        <family val="2"/>
        <scheme val="minor"/>
      </rPr>
      <t xml:space="preserve"> </t>
    </r>
    <r>
      <rPr>
        <sz val="11"/>
        <color theme="1"/>
        <rFont val="Arial"/>
        <family val="2"/>
        <charset val="204"/>
      </rPr>
      <t>مساحة</t>
    </r>
    <r>
      <rPr>
        <sz val="11"/>
        <color theme="1"/>
        <rFont val="Calibri"/>
        <family val="2"/>
        <scheme val="minor"/>
      </rPr>
      <t xml:space="preserve"> </t>
    </r>
    <r>
      <rPr>
        <sz val="11"/>
        <color theme="1"/>
        <rFont val="Arial"/>
        <family val="2"/>
        <charset val="204"/>
      </rPr>
      <t>الأراضي</t>
    </r>
    <r>
      <rPr>
        <sz val="11"/>
        <color theme="1"/>
        <rFont val="Calibri"/>
        <family val="2"/>
        <scheme val="minor"/>
      </rPr>
      <t xml:space="preserve"> </t>
    </r>
    <r>
      <rPr>
        <sz val="11"/>
        <color theme="1"/>
        <rFont val="Arial"/>
        <family val="2"/>
        <charset val="204"/>
      </rPr>
      <t>التي</t>
    </r>
    <r>
      <rPr>
        <sz val="11"/>
        <color theme="1"/>
        <rFont val="Calibri"/>
        <family val="2"/>
        <scheme val="minor"/>
      </rPr>
      <t xml:space="preserve"> </t>
    </r>
    <r>
      <rPr>
        <sz val="11"/>
        <color theme="1"/>
        <rFont val="Arial"/>
        <family val="2"/>
        <charset val="204"/>
      </rPr>
      <t>تم</t>
    </r>
    <r>
      <rPr>
        <sz val="11"/>
        <color theme="1"/>
        <rFont val="Calibri"/>
        <family val="2"/>
        <scheme val="minor"/>
      </rPr>
      <t xml:space="preserve"> </t>
    </r>
    <r>
      <rPr>
        <sz val="11"/>
        <color theme="1"/>
        <rFont val="Arial"/>
        <family val="2"/>
        <charset val="204"/>
      </rPr>
      <t>تأجيرها</t>
    </r>
    <r>
      <rPr>
        <sz val="11"/>
        <color theme="1"/>
        <rFont val="Calibri"/>
        <family val="2"/>
        <scheme val="minor"/>
      </rPr>
      <t xml:space="preserve"> </t>
    </r>
    <r>
      <rPr>
        <sz val="11"/>
        <color theme="1"/>
        <rFont val="Arial"/>
        <family val="2"/>
        <charset val="204"/>
      </rPr>
      <t>مشاركة</t>
    </r>
    <r>
      <rPr>
        <sz val="11"/>
        <color theme="1"/>
        <rFont val="Calibri"/>
        <family val="2"/>
        <scheme val="minor"/>
      </rPr>
      <t xml:space="preserve"> </t>
    </r>
    <r>
      <rPr>
        <sz val="11"/>
        <color theme="1"/>
        <rFont val="Arial"/>
        <family val="2"/>
        <charset val="204"/>
      </rPr>
      <t>خلال</t>
    </r>
    <r>
      <rPr>
        <sz val="11"/>
        <color theme="1"/>
        <rFont val="Calibri"/>
        <family val="2"/>
        <scheme val="minor"/>
      </rPr>
      <t xml:space="preserve"> </t>
    </r>
    <r>
      <rPr>
        <sz val="11"/>
        <color theme="1"/>
        <rFont val="Arial"/>
        <family val="2"/>
        <charset val="204"/>
      </rPr>
      <t>الـ</t>
    </r>
    <r>
      <rPr>
        <sz val="11"/>
        <color theme="1"/>
        <rFont val="Calibri"/>
        <family val="2"/>
        <scheme val="minor"/>
      </rPr>
      <t xml:space="preserve">12 </t>
    </r>
    <r>
      <rPr>
        <sz val="11"/>
        <color theme="1"/>
        <rFont val="Arial"/>
        <family val="2"/>
        <charset val="204"/>
      </rPr>
      <t>شهر</t>
    </r>
    <r>
      <rPr>
        <sz val="11"/>
        <color theme="1"/>
        <rFont val="Calibri"/>
        <family val="2"/>
        <scheme val="minor"/>
      </rPr>
      <t xml:space="preserve"> </t>
    </r>
    <r>
      <rPr>
        <sz val="11"/>
        <color theme="1"/>
        <rFont val="Arial"/>
        <family val="2"/>
        <charset val="204"/>
      </rPr>
      <t>الماضية؟</t>
    </r>
  </si>
  <si>
    <r>
      <rPr>
        <sz val="11"/>
        <color theme="1"/>
        <rFont val="Arial"/>
        <family val="2"/>
        <charset val="204"/>
      </rPr>
      <t>المبلغ</t>
    </r>
    <r>
      <rPr>
        <sz val="11"/>
        <color theme="1"/>
        <rFont val="Calibri"/>
        <family val="2"/>
        <scheme val="minor"/>
      </rPr>
      <t xml:space="preserve"> (</t>
    </r>
    <r>
      <rPr>
        <sz val="11"/>
        <color theme="1"/>
        <rFont val="Arial"/>
        <family val="2"/>
        <charset val="204"/>
      </rPr>
      <t>بالجنيه</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تأجير</t>
    </r>
    <r>
      <rPr>
        <sz val="11"/>
        <color theme="1"/>
        <rFont val="Calibri"/>
        <family val="2"/>
        <scheme val="minor"/>
      </rPr>
      <t xml:space="preserve"> </t>
    </r>
    <r>
      <rPr>
        <sz val="11"/>
        <color theme="1"/>
        <rFont val="Arial"/>
        <family val="2"/>
        <charset val="204"/>
      </rPr>
      <t>خلص:</t>
    </r>
  </si>
  <si>
    <r>
      <rPr>
        <sz val="11"/>
        <color theme="1"/>
        <rFont val="Arial"/>
        <family val="2"/>
        <charset val="204"/>
      </rPr>
      <t>المبلغ</t>
    </r>
    <r>
      <rPr>
        <sz val="11"/>
        <color theme="1"/>
        <rFont val="Calibri"/>
        <family val="2"/>
        <scheme val="minor"/>
      </rPr>
      <t xml:space="preserve"> (</t>
    </r>
    <r>
      <rPr>
        <sz val="11"/>
        <color theme="1"/>
        <rFont val="Arial"/>
        <family val="2"/>
        <charset val="204"/>
      </rPr>
      <t>بالجنيه</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تأجير</t>
    </r>
    <r>
      <rPr>
        <sz val="11"/>
        <color theme="1"/>
        <rFont val="Calibri"/>
        <family val="2"/>
        <scheme val="minor"/>
      </rPr>
      <t xml:space="preserve"> </t>
    </r>
    <r>
      <rPr>
        <sz val="11"/>
        <color theme="1"/>
        <rFont val="Arial"/>
        <family val="2"/>
        <charset val="204"/>
      </rPr>
      <t>مشاركة:</t>
    </r>
  </si>
  <si>
    <r>
      <rPr>
        <sz val="11"/>
        <color theme="1"/>
        <rFont val="Arial"/>
        <family val="2"/>
        <charset val="204"/>
      </rPr>
      <t>ما</t>
    </r>
    <r>
      <rPr>
        <sz val="11"/>
        <color theme="1"/>
        <rFont val="Calibri"/>
        <family val="2"/>
        <scheme val="minor"/>
      </rPr>
      <t xml:space="preserve"> </t>
    </r>
    <r>
      <rPr>
        <sz val="11"/>
        <color theme="1"/>
        <rFont val="Arial"/>
        <family val="2"/>
        <charset val="204"/>
      </rPr>
      <t>إجمالي</t>
    </r>
    <r>
      <rPr>
        <sz val="11"/>
        <color theme="1"/>
        <rFont val="Calibri"/>
        <family val="2"/>
        <scheme val="minor"/>
      </rPr>
      <t xml:space="preserve"> </t>
    </r>
    <r>
      <rPr>
        <sz val="11"/>
        <color theme="1"/>
        <rFont val="Arial"/>
        <family val="2"/>
        <charset val="204"/>
      </rPr>
      <t>مساحة</t>
    </r>
    <r>
      <rPr>
        <sz val="11"/>
        <color theme="1"/>
        <rFont val="Calibri"/>
        <family val="2"/>
        <scheme val="minor"/>
      </rPr>
      <t xml:space="preserve"> </t>
    </r>
    <r>
      <rPr>
        <sz val="11"/>
        <color theme="1"/>
        <rFont val="Arial"/>
        <family val="2"/>
        <charset val="204"/>
      </rPr>
      <t>الأراضى المستأجرة</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الأخرين</t>
    </r>
    <r>
      <rPr>
        <sz val="11"/>
        <color theme="1"/>
        <rFont val="Calibri"/>
        <family val="2"/>
        <scheme val="minor"/>
      </rPr>
      <t xml:space="preserve"> </t>
    </r>
    <r>
      <rPr>
        <sz val="11"/>
        <color theme="1"/>
        <rFont val="Arial"/>
        <family val="2"/>
        <charset val="204"/>
      </rPr>
      <t>خلال الـ1</t>
    </r>
    <r>
      <rPr>
        <sz val="11"/>
        <color theme="1"/>
        <rFont val="Calibri"/>
        <family val="2"/>
        <scheme val="minor"/>
      </rPr>
      <t xml:space="preserve">2 </t>
    </r>
    <r>
      <rPr>
        <sz val="11"/>
        <color theme="1"/>
        <rFont val="Arial"/>
        <family val="2"/>
        <charset val="204"/>
      </rPr>
      <t>شهر</t>
    </r>
    <r>
      <rPr>
        <sz val="11"/>
        <color theme="1"/>
        <rFont val="Calibri"/>
        <family val="2"/>
        <scheme val="minor"/>
      </rPr>
      <t xml:space="preserve"> </t>
    </r>
    <r>
      <rPr>
        <sz val="11"/>
        <color theme="1"/>
        <rFont val="Arial"/>
        <family val="2"/>
        <charset val="204"/>
      </rPr>
      <t>الماضية</t>
    </r>
    <r>
      <rPr>
        <sz val="11"/>
        <color theme="1"/>
        <rFont val="Calibri"/>
        <family val="2"/>
        <scheme val="minor"/>
      </rPr>
      <t xml:space="preserve"> </t>
    </r>
    <r>
      <rPr>
        <sz val="11"/>
        <color theme="1"/>
        <rFont val="Arial"/>
        <family val="2"/>
        <charset val="204"/>
      </rPr>
      <t>؟</t>
    </r>
  </si>
  <si>
    <r>
      <rPr>
        <sz val="11"/>
        <color theme="1"/>
        <rFont val="Arial"/>
        <family val="2"/>
        <charset val="204"/>
      </rPr>
      <t>ما</t>
    </r>
    <r>
      <rPr>
        <sz val="11"/>
        <color theme="1"/>
        <rFont val="Calibri"/>
        <family val="2"/>
        <scheme val="minor"/>
      </rPr>
      <t xml:space="preserve"> </t>
    </r>
    <r>
      <rPr>
        <sz val="11"/>
        <color theme="1"/>
        <rFont val="Arial"/>
        <family val="2"/>
        <charset val="204"/>
      </rPr>
      <t>نوع</t>
    </r>
    <r>
      <rPr>
        <sz val="11"/>
        <color theme="1"/>
        <rFont val="Calibri"/>
        <family val="2"/>
        <scheme val="minor"/>
      </rPr>
      <t xml:space="preserve"> </t>
    </r>
    <r>
      <rPr>
        <sz val="11"/>
        <color theme="1"/>
        <rFont val="Arial"/>
        <family val="2"/>
        <charset val="204"/>
      </rPr>
      <t>الإيجار</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الأخرين</t>
    </r>
    <r>
      <rPr>
        <sz val="11"/>
        <color theme="1"/>
        <rFont val="Arial"/>
        <family val="2"/>
        <charset val="204"/>
      </rPr>
      <t>؟</t>
    </r>
    <r>
      <rPr>
        <sz val="11"/>
        <color theme="1"/>
        <rFont val="Calibri"/>
        <family val="2"/>
        <scheme val="minor"/>
      </rPr>
      <t xml:space="preserve"> 
</t>
    </r>
  </si>
  <si>
    <r>
      <rPr>
        <sz val="11"/>
        <color theme="1"/>
        <rFont val="Arial"/>
        <family val="2"/>
        <charset val="204"/>
      </rPr>
      <t>ما</t>
    </r>
    <r>
      <rPr>
        <sz val="11"/>
        <color theme="1"/>
        <rFont val="Calibri"/>
        <family val="2"/>
        <scheme val="minor"/>
      </rPr>
      <t xml:space="preserve"> </t>
    </r>
    <r>
      <rPr>
        <sz val="11"/>
        <color theme="1"/>
        <rFont val="Arial"/>
        <family val="2"/>
        <charset val="204"/>
      </rPr>
      <t>قيمة</t>
    </r>
    <r>
      <rPr>
        <sz val="11"/>
        <color theme="1"/>
        <rFont val="Calibri"/>
        <family val="2"/>
        <scheme val="minor"/>
      </rPr>
      <t xml:space="preserve"> </t>
    </r>
    <r>
      <rPr>
        <sz val="11"/>
        <color theme="1"/>
        <rFont val="Arial"/>
        <family val="2"/>
        <charset val="204"/>
      </rPr>
      <t>الإيجار</t>
    </r>
    <r>
      <rPr>
        <sz val="11"/>
        <color theme="1"/>
        <rFont val="Calibri"/>
        <family val="2"/>
        <scheme val="minor"/>
      </rPr>
      <t xml:space="preserve"> </t>
    </r>
    <r>
      <rPr>
        <sz val="11"/>
        <color theme="1"/>
        <rFont val="Arial"/>
        <family val="2"/>
        <charset val="204"/>
      </rPr>
      <t xml:space="preserve">السنوي </t>
    </r>
    <r>
      <rPr>
        <sz val="11"/>
        <color theme="1"/>
        <rFont val="Calibri"/>
        <family val="2"/>
        <scheme val="minor"/>
      </rPr>
      <t>(</t>
    </r>
    <r>
      <rPr>
        <sz val="11"/>
        <color theme="1"/>
        <rFont val="Arial"/>
        <family val="2"/>
        <charset val="204"/>
      </rPr>
      <t>بالجنيه</t>
    </r>
    <r>
      <rPr>
        <sz val="11"/>
        <color theme="1"/>
        <rFont val="Calibri"/>
        <family val="2"/>
        <scheme val="minor"/>
      </rPr>
      <t>)</t>
    </r>
    <r>
      <rPr>
        <sz val="11"/>
        <color theme="1"/>
        <rFont val="Arial"/>
        <family val="2"/>
        <charset val="204"/>
      </rPr>
      <t>؟</t>
    </r>
  </si>
  <si>
    <t>سجل 99 إذا كان العدد 100+</t>
  </si>
  <si>
    <t>Write 99 if 100+</t>
  </si>
  <si>
    <t>يجب أن يكون العدد 1-99</t>
  </si>
  <si>
    <t>Write 99998 if don’t know</t>
  </si>
  <si>
    <t>يجب أن يكون العدد 0-100</t>
  </si>
  <si>
    <r>
      <rPr>
        <sz val="11"/>
        <rFont val="Arial"/>
        <family val="2"/>
        <charset val="204"/>
      </rPr>
      <t>في</t>
    </r>
    <r>
      <rPr>
        <sz val="11"/>
        <rFont val="Calibri"/>
        <family val="2"/>
        <scheme val="minor"/>
      </rPr>
      <t xml:space="preserve"> </t>
    </r>
    <r>
      <rPr>
        <sz val="11"/>
        <rFont val="Arial"/>
        <family val="2"/>
        <charset val="204"/>
      </rPr>
      <t>حالة</t>
    </r>
    <r>
      <rPr>
        <sz val="11"/>
        <rFont val="Calibri"/>
        <family val="2"/>
        <scheme val="minor"/>
      </rPr>
      <t xml:space="preserve"> "</t>
    </r>
    <r>
      <rPr>
        <sz val="11"/>
        <rFont val="Arial"/>
        <family val="2"/>
        <charset val="204"/>
      </rPr>
      <t>لا</t>
    </r>
    <r>
      <rPr>
        <sz val="11"/>
        <rFont val="Calibri"/>
        <family val="2"/>
        <scheme val="minor"/>
      </rPr>
      <t xml:space="preserve"> أ</t>
    </r>
    <r>
      <rPr>
        <sz val="11"/>
        <rFont val="Arial"/>
        <family val="2"/>
        <charset val="204"/>
      </rPr>
      <t xml:space="preserve">عرف"، سجل </t>
    </r>
    <r>
      <rPr>
        <sz val="11"/>
        <rFont val="Calibri"/>
        <family val="2"/>
        <scheme val="minor"/>
      </rPr>
      <t>999998
إ</t>
    </r>
    <r>
      <rPr>
        <sz val="11"/>
        <rFont val="Arial"/>
        <family val="2"/>
        <charset val="204"/>
      </rPr>
      <t>ذا</t>
    </r>
    <r>
      <rPr>
        <sz val="11"/>
        <rFont val="Calibri"/>
        <family val="2"/>
        <scheme val="minor"/>
      </rPr>
      <t xml:space="preserve"> </t>
    </r>
    <r>
      <rPr>
        <sz val="11"/>
        <rFont val="Arial"/>
        <family val="2"/>
        <charset val="204"/>
      </rPr>
      <t>كانت</t>
    </r>
    <r>
      <rPr>
        <sz val="11"/>
        <rFont val="Calibri"/>
        <family val="2"/>
        <scheme val="minor"/>
      </rPr>
      <t xml:space="preserve"> </t>
    </r>
    <r>
      <rPr>
        <sz val="11"/>
        <rFont val="Arial"/>
        <family val="2"/>
        <charset val="204"/>
      </rPr>
      <t>هبة</t>
    </r>
    <r>
      <rPr>
        <sz val="11"/>
        <rFont val="Calibri"/>
        <family val="2"/>
        <scheme val="minor"/>
      </rPr>
      <t xml:space="preserve"> </t>
    </r>
    <r>
      <rPr>
        <sz val="11"/>
        <rFont val="Arial"/>
        <family val="2"/>
        <charset val="204"/>
      </rPr>
      <t>أو</t>
    </r>
    <r>
      <rPr>
        <sz val="11"/>
        <rFont val="Calibri"/>
        <family val="2"/>
        <scheme val="minor"/>
      </rPr>
      <t xml:space="preserve"> </t>
    </r>
    <r>
      <rPr>
        <sz val="11"/>
        <rFont val="Arial"/>
        <family val="2"/>
        <charset val="204"/>
      </rPr>
      <t>إرث،</t>
    </r>
    <r>
      <rPr>
        <sz val="11"/>
        <rFont val="Calibri"/>
        <family val="2"/>
        <scheme val="minor"/>
      </rPr>
      <t xml:space="preserve"> </t>
    </r>
    <r>
      <rPr>
        <sz val="11"/>
        <rFont val="Arial"/>
        <family val="2"/>
        <charset val="204"/>
      </rPr>
      <t>سجل</t>
    </r>
    <r>
      <rPr>
        <sz val="11"/>
        <rFont val="Calibri"/>
        <family val="2"/>
        <scheme val="minor"/>
      </rPr>
      <t xml:space="preserve"> 0</t>
    </r>
  </si>
  <si>
    <r>
      <rPr>
        <sz val="11"/>
        <rFont val="Arial"/>
        <family val="2"/>
        <charset val="204"/>
      </rPr>
      <t>في</t>
    </r>
    <r>
      <rPr>
        <sz val="11"/>
        <rFont val="Calibri"/>
        <family val="2"/>
        <scheme val="minor"/>
      </rPr>
      <t xml:space="preserve"> </t>
    </r>
    <r>
      <rPr>
        <sz val="11"/>
        <rFont val="Arial"/>
        <family val="2"/>
        <charset val="204"/>
      </rPr>
      <t>حالة</t>
    </r>
    <r>
      <rPr>
        <sz val="11"/>
        <rFont val="Calibri"/>
        <family val="2"/>
        <scheme val="minor"/>
      </rPr>
      <t xml:space="preserve"> "</t>
    </r>
    <r>
      <rPr>
        <sz val="11"/>
        <rFont val="Arial"/>
        <family val="2"/>
        <charset val="204"/>
      </rPr>
      <t>لا</t>
    </r>
    <r>
      <rPr>
        <sz val="11"/>
        <rFont val="Calibri"/>
        <family val="2"/>
        <scheme val="minor"/>
      </rPr>
      <t xml:space="preserve"> أ</t>
    </r>
    <r>
      <rPr>
        <sz val="11"/>
        <rFont val="Arial"/>
        <family val="2"/>
        <charset val="204"/>
      </rPr>
      <t xml:space="preserve">عرف"، سجل </t>
    </r>
    <r>
      <rPr>
        <sz val="11"/>
        <rFont val="Calibri"/>
        <family val="2"/>
        <scheme val="minor"/>
      </rPr>
      <t>999998</t>
    </r>
  </si>
  <si>
    <t>هل الشخص الرئيسي الذي يرعى ]الحيوانات[ هو أحد أفراد الأسرة؟</t>
  </si>
  <si>
    <t>هل الشخص الثاني الذي يرعى ]الحيوانات[ هو أحد أفراد الأسرة؟</t>
  </si>
  <si>
    <t xml:space="preserve">من الشخص المسؤول عن رعاية ]الحيوانات[ في الأسرة؟ الفرد الثاني </t>
  </si>
  <si>
    <t>هل الشخص الثالث الذي يرعى ]الحيوانات[ هو أحد أفراد الأسرة؟</t>
  </si>
  <si>
    <t>الأبقار</t>
  </si>
  <si>
    <t>الماعز</t>
  </si>
  <si>
    <t>الخراف</t>
  </si>
  <si>
    <t>الجمال</t>
  </si>
  <si>
    <t>الحمير/البغال</t>
  </si>
  <si>
    <t>الاحصنة</t>
  </si>
  <si>
    <t>لايمكن اختيار نفس الفرد مرتين</t>
  </si>
  <si>
    <t>كم [item] تمتلك الأسرة؟</t>
  </si>
  <si>
    <t>هل تمتلك الأسرة [item] مشاركة مع أسر أخرى؟</t>
  </si>
  <si>
    <t>ما نصيب الأسرة من [item]؟</t>
  </si>
  <si>
    <t>سجل النسبة من 0-100. إذا كانت النسبة تختلف من سلعة لأخرى، سجل متوسط نصيب الاسرة.</t>
  </si>
  <si>
    <t>هل استؤجر [item] خلال الـ12 شهر الماضية؟</t>
  </si>
  <si>
    <t>كم كانت قيمة الإيجار (بالجنيه)؟</t>
  </si>
  <si>
    <t>*في حالة لا أعرف سجل  999998</t>
  </si>
  <si>
    <t>جرار كبير (قوة 12 حصان فأكثر)</t>
  </si>
  <si>
    <t>جرار صغير (قوة أقل من 12 حصان)</t>
  </si>
  <si>
    <t>محراث يُجر بحيوان</t>
  </si>
  <si>
    <t>نظام ري بالرش</t>
  </si>
  <si>
    <t>طلمبة ميكانيكية</t>
  </si>
  <si>
    <t>طلمبة يدوية</t>
  </si>
  <si>
    <t>ماكينة صناعة/معالجة علف الماشية</t>
  </si>
  <si>
    <t>بطارية منحل عسل</t>
  </si>
  <si>
    <t>معدات أخرى</t>
  </si>
  <si>
    <t>يرجى تحديد المعدات الأخرى</t>
  </si>
  <si>
    <t>سجل النسبة من 0-100</t>
  </si>
  <si>
    <t>الآن أريد أن أسألك بعض الأسئلة عن جميع المحاصيل التي تمّ حصادها خلال السنة الماضية من جميع مزارع الأسرة</t>
  </si>
  <si>
    <t>هل قام أحد أفراد الأسرة بزراعة أية محاصيل أو إنتاج أي منتجات نباتية أخرى خلال الـ12 شهر الماضية؟</t>
  </si>
  <si>
    <t>كم عدد المحاصيل التي تم زراعتها/إنتاجها السنة الماضية؟</t>
  </si>
  <si>
    <t xml:space="preserve">أذكر المحاصيل التي تم إنتاجها خلال الـ١٢ شهر الماضية
</t>
  </si>
  <si>
    <t>عدل معلومات المحاصيل</t>
  </si>
  <si>
    <t>لقد ذكرت أن عدد الأنواع المختلفة من المحاصيل:  {{data.q16401_2}}. لقد بدأت بالعدد: {{data.zcrop_count_1}} وانتهيت بالعدد: {{data.zcrop_count_2}}.</t>
  </si>
  <si>
    <t>يجب إستكمال بيانات جميع المحاصيل</t>
  </si>
  <si>
    <t xml:space="preserve"> 16.5 دخول زراعية أخري</t>
  </si>
  <si>
    <r>
      <rPr>
        <sz val="11"/>
        <color theme="1"/>
        <rFont val="Arial"/>
        <family val="2"/>
        <charset val="204"/>
      </rPr>
      <t>اسم</t>
    </r>
    <r>
      <rPr>
        <sz val="11"/>
        <color theme="1"/>
        <rFont val="Calibri"/>
        <family val="2"/>
        <scheme val="minor"/>
      </rPr>
      <t xml:space="preserve"> الباحث</t>
    </r>
  </si>
  <si>
    <t>رقم الباحث</t>
  </si>
  <si>
    <t>أسرة جديدة</t>
  </si>
  <si>
    <t>تاريخ الزيارة الأولى</t>
  </si>
  <si>
    <t>نتيجة الزيارة الأولى</t>
  </si>
  <si>
    <t>انهي المقابلة والنتيجة استيفاء الاستمارة كاملة</t>
  </si>
  <si>
    <t>حفظ الاستمارة</t>
  </si>
  <si>
    <t>إذا لم تكن هذه هي الزيارة الأولى اضغط "التالي"</t>
  </si>
  <si>
    <t>تاريخ الزيارة الثانية</t>
  </si>
  <si>
    <t>نتيجة الزيارة الثانية</t>
  </si>
  <si>
    <t>نهاية الزيارة الثانية، انتقل إلى الزيارة التالية</t>
  </si>
  <si>
    <t>إذا لم تكن هذه هي الزيارة الثانية اضغط "التالي"</t>
  </si>
  <si>
    <t>تاريخ الزيارة الثالثة</t>
  </si>
  <si>
    <t>نتيجة الزيارة الثالثة</t>
  </si>
  <si>
    <t xml:space="preserve">مقدمة لأسر بحث 2012:
قام الجهاز المركزي للتعبئة العامة والإحصاء، بالتعاون مع منتدى البحوث الاقتصادية، في عام 2012 بعمل بحث ميداني ناجح عن سوق العمل فى جمهورية مصر العربية، باستخدام عينة عشوائية. يستهدف البحث تحليل خصائص سوق العمل المصري. وقد كانت أسرتكم ضمن العينة العشوائية في عام 2012. نقوم حالياً في عام 2018 بزيارة تتبعية لنفس الأسر التي زرناها في البحث السابق، بالإضافة إلى عينة جديدة. ذلك لنتمكن من متابعة تطورات سوق العمل، والوصول إلى أهم السياسات لتحسين حالة العمل والعمالة في مصر. وعليه فإن تعاونكم معنا أساسي في إنجاح هذا البحث. رجاء العلم أن البيانات الشخصية الخاصة بكم ستبقى سرية بموجب القانون، وأن البيانات المقدمة لن تستخدم إلا لأغراض البحث العلمي. 
</t>
  </si>
  <si>
    <t>نرجو قبول دعوتنا للمشاركة في هذا البحث.</t>
  </si>
  <si>
    <t xml:space="preserve">مقدمة لأسر العينة الجديدة:
يقوم الجهاز المركزي للتعبئة العامة والإحصاء، بالتعاون مع منتدى البحوث الاقتصادية، بإجراء بحث ميداني لسوق العمل في جمهورية مصر العربية، باستخدام عينة عشوائية. وقد كانت أسرتكم ضمن العينة العشوائية التى اختيرت للاشتراك في هذا البحث، الذى يهدف إلى متابعة تطورات سوق العمل، والوصول إلى أهم السياسات لتحسين حالة العمل والعمالة في مصر. وعليه فإن تعاونكم معنا أساسي في إنجاح هذا البحث. رجاء العلم أن البيانات الشخصية الخاصة بكم ستبقى سرية بموجب القانون، وأن البيانات المقدمة لن تستخدم إلا لأغراض البحث العلمي. </t>
  </si>
  <si>
    <r>
      <t xml:space="preserve"> </t>
    </r>
    <r>
      <rPr>
        <sz val="11"/>
        <color theme="1"/>
        <rFont val="Arial"/>
        <family val="2"/>
        <charset val="204"/>
      </rPr>
      <t>اسم</t>
    </r>
    <r>
      <rPr>
        <sz val="11"/>
        <color theme="1"/>
        <rFont val="Calibri"/>
        <family val="2"/>
        <scheme val="minor"/>
      </rPr>
      <t xml:space="preserve"> </t>
    </r>
    <r>
      <rPr>
        <sz val="11"/>
        <color theme="1"/>
        <rFont val="Arial"/>
        <family val="2"/>
        <charset val="204"/>
      </rPr>
      <t>الباحث</t>
    </r>
    <r>
      <rPr>
        <sz val="11"/>
        <color theme="1"/>
        <rFont val="Calibri"/>
        <family val="2"/>
        <scheme val="minor"/>
      </rPr>
      <t xml:space="preserve"> لل</t>
    </r>
    <r>
      <rPr>
        <sz val="11"/>
        <color theme="1"/>
        <rFont val="Arial"/>
        <family val="2"/>
        <charset val="204"/>
      </rPr>
      <t>تحقق</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الموافقة</t>
    </r>
  </si>
  <si>
    <t>هل لدى الأسرة أي تحديثات على العنوان؟</t>
  </si>
  <si>
    <t> اسم المالك الجديد أو رقم البيت الجديد </t>
  </si>
  <si>
    <t>نوع المسكن الجديد</t>
  </si>
  <si>
    <t xml:space="preserve">معلومات أخرى </t>
  </si>
  <si>
    <t>هل تعيش الأسرة في الحضر أو الريف؟</t>
  </si>
  <si>
    <t>هل تعيش الأسرة في قرية أم أو تابع؟</t>
  </si>
  <si>
    <t>يلزم الانتهاء من جميع أفراد الأسرة في عام 2012 قبل المتابعة</t>
  </si>
  <si>
    <t>يلزم وجود فرد واحد على الأقل من عام 2012، غير ذلك يجب تغيير نتيجة الزيارة</t>
  </si>
  <si>
    <t>يلزم الانتهاء من جميع أفراد الأسرة في عام 2018 قبل المتابعة</t>
  </si>
  <si>
    <r>
      <rPr>
        <sz val="11"/>
        <color theme="1"/>
        <rFont val="Arial"/>
        <family val="2"/>
        <charset val="204"/>
      </rPr>
      <t>ما</t>
    </r>
    <r>
      <rPr>
        <sz val="11"/>
        <color theme="1"/>
        <rFont val="Calibri"/>
        <family val="2"/>
        <scheme val="minor"/>
      </rPr>
      <t xml:space="preserve"> هو </t>
    </r>
    <r>
      <rPr>
        <sz val="11"/>
        <color theme="1"/>
        <rFont val="Arial"/>
        <family val="2"/>
        <charset val="204"/>
      </rPr>
      <t>نوع</t>
    </r>
    <r>
      <rPr>
        <sz val="11"/>
        <color theme="1"/>
        <rFont val="Calibri"/>
        <family val="2"/>
        <scheme val="minor"/>
      </rPr>
      <t xml:space="preserve"> </t>
    </r>
    <r>
      <rPr>
        <sz val="11"/>
        <color theme="1"/>
        <rFont val="Arial"/>
        <family val="2"/>
        <charset val="204"/>
      </rPr>
      <t>المسكن؟</t>
    </r>
  </si>
  <si>
    <t>أخرى</t>
  </si>
  <si>
    <r>
      <rPr>
        <sz val="11"/>
        <color theme="1"/>
        <rFont val="Arial"/>
        <family val="2"/>
        <charset val="204"/>
      </rPr>
      <t>ما</t>
    </r>
    <r>
      <rPr>
        <sz val="11"/>
        <color theme="1"/>
        <rFont val="Calibri"/>
        <family val="2"/>
        <scheme val="minor"/>
      </rPr>
      <t xml:space="preserve"> </t>
    </r>
    <r>
      <rPr>
        <sz val="11"/>
        <color theme="1"/>
        <rFont val="Arial"/>
        <family val="2"/>
        <charset val="204"/>
      </rPr>
      <t>هي</t>
    </r>
    <r>
      <rPr>
        <sz val="11"/>
        <color theme="1"/>
        <rFont val="Calibri"/>
        <family val="2"/>
        <scheme val="minor"/>
      </rPr>
      <t xml:space="preserve"> </t>
    </r>
    <r>
      <rPr>
        <sz val="11"/>
        <color theme="1"/>
        <rFont val="Arial"/>
        <family val="2"/>
        <charset val="204"/>
      </rPr>
      <t>المادة</t>
    </r>
    <r>
      <rPr>
        <sz val="11"/>
        <color theme="1"/>
        <rFont val="Calibri"/>
        <family val="2"/>
        <scheme val="minor"/>
      </rPr>
      <t xml:space="preserve"> </t>
    </r>
    <r>
      <rPr>
        <sz val="11"/>
        <color theme="1"/>
        <rFont val="Arial"/>
        <family val="2"/>
        <charset val="204"/>
      </rPr>
      <t>الأساسية</t>
    </r>
    <r>
      <rPr>
        <sz val="11"/>
        <color theme="1"/>
        <rFont val="Calibri"/>
        <family val="2"/>
        <scheme val="minor"/>
      </rPr>
      <t xml:space="preserve"> </t>
    </r>
    <r>
      <rPr>
        <sz val="11"/>
        <color theme="1"/>
        <rFont val="Arial"/>
        <family val="2"/>
        <charset val="204"/>
      </rPr>
      <t>المستخدمة</t>
    </r>
    <r>
      <rPr>
        <sz val="11"/>
        <color theme="1"/>
        <rFont val="Calibri"/>
        <family val="2"/>
        <scheme val="minor"/>
      </rPr>
      <t xml:space="preserve"> </t>
    </r>
    <r>
      <rPr>
        <sz val="11"/>
        <color theme="1"/>
        <rFont val="Arial"/>
        <family val="2"/>
        <charset val="204"/>
      </rPr>
      <t>في</t>
    </r>
    <r>
      <rPr>
        <sz val="11"/>
        <color theme="1"/>
        <rFont val="Calibri"/>
        <family val="2"/>
        <scheme val="minor"/>
      </rPr>
      <t xml:space="preserve"> </t>
    </r>
    <r>
      <rPr>
        <sz val="11"/>
        <color theme="1"/>
        <rFont val="Arial"/>
        <family val="2"/>
        <charset val="204"/>
      </rPr>
      <t>أرضية</t>
    </r>
    <r>
      <rPr>
        <sz val="11"/>
        <color theme="1"/>
        <rFont val="Calibri"/>
        <family val="2"/>
        <scheme val="minor"/>
      </rPr>
      <t xml:space="preserve"> </t>
    </r>
    <r>
      <rPr>
        <sz val="11"/>
        <color theme="1"/>
        <rFont val="Arial"/>
        <family val="2"/>
        <charset val="204"/>
      </rPr>
      <t>المسكن؟</t>
    </r>
  </si>
  <si>
    <t xml:space="preserve">ما هي المادة الأساسية المستخدمة في سقف المسكن؟ </t>
  </si>
  <si>
    <t>ما هى المساحة الداخلية للمسكن بالمتر المربع؟</t>
  </si>
  <si>
    <t>كم عدد الغرف في المسكن بما فيها الصالة؟</t>
  </si>
  <si>
    <t>ما هو نوع حيازة مسكنكم؟</t>
  </si>
  <si>
    <t>كم تدفع في الإيجار شهرياً؟</t>
  </si>
  <si>
    <t xml:space="preserve">ما هو المصدر الأساسي لمياه الشرب؟ </t>
  </si>
  <si>
    <t>ما هو المصدر الأساسي للمياه المستخدمة لأغرض أخرى؟</t>
  </si>
  <si>
    <t>ما هو المصدر الأساسي للإنارة في مسكنك؟</t>
  </si>
  <si>
    <t xml:space="preserve">ما هو مصدر الطاقة الرئيسي لتدفئة مسكنك؟
</t>
  </si>
  <si>
    <t xml:space="preserve">ما هو نظام الصرف الصحي بالمسكن؟
</t>
  </si>
  <si>
    <t xml:space="preserve">هل يوجد وصلة انترنت في المنزل؟ </t>
  </si>
  <si>
    <t xml:space="preserve">هل تمتلك الأسرة أي من العناصر التاليه؟ </t>
  </si>
  <si>
    <t xml:space="preserve"> جهاز فيديو- مشغل DVD -أجهزة عرض بث مباشر</t>
  </si>
  <si>
    <t>ديب فريزر</t>
  </si>
  <si>
    <t>موقد طبخ (بوتجاز/كهرباء/غاز)</t>
  </si>
  <si>
    <t>سخان مياه للاستحمام (غاز/كهرباء)</t>
  </si>
  <si>
    <t>غسالة عادية/نصف اتوماتيك</t>
  </si>
  <si>
    <t>Digital camera/Video camera</t>
  </si>
  <si>
    <t xml:space="preserve"> كاميرا (ديجيتال)/كاميرا فيديو</t>
  </si>
  <si>
    <t xml:space="preserve">  موتوسيكل/فيسبا</t>
  </si>
  <si>
    <t>توك توك</t>
  </si>
  <si>
    <t>نوت بوك، لاب توب، تابلت (كمبيوتر لوحى)</t>
  </si>
  <si>
    <t>Mixer/Grinder</t>
  </si>
  <si>
    <t>Kitchen machine</t>
  </si>
  <si>
    <t>Water cooler</t>
  </si>
  <si>
    <t>Kitchen/Bathroom fan</t>
  </si>
  <si>
    <t>Water filter</t>
  </si>
  <si>
    <t>خلاط/مفرمة</t>
  </si>
  <si>
    <t>كتشن ماشين</t>
  </si>
  <si>
    <t>مبرد مياه/كولدير</t>
  </si>
  <si>
    <t>شفاط</t>
  </si>
  <si>
    <t>فلتر مياه</t>
  </si>
  <si>
    <t xml:space="preserve">هل تقوم الأسرة بتشغيل أحداً للمساعدة؟ </t>
  </si>
  <si>
    <t>عدد المشتغلين للمساعدة:</t>
  </si>
  <si>
    <t>أضف الأفراد الذين توظفهم أسرتك للمساعدة (حتى 5 أشخاص)</t>
  </si>
  <si>
    <t>وسائل المواصلات</t>
  </si>
  <si>
    <t xml:space="preserve">ما هي وسيلة المواصلات الأكثر استخداما للذهاب إلى المدرسة الابتدائية؟ </t>
  </si>
  <si>
    <t xml:space="preserve">ما هى مدة الرحلة؟ </t>
  </si>
  <si>
    <t xml:space="preserve">ما هي وسيلة المواصلات الأكثر استخداما للذهاب إلى المدرسة الاعدادية؟ </t>
  </si>
  <si>
    <t xml:space="preserve">ما هي وسيلة المواصلات الأكثر استخداما للذهاب إلى المدرسة الثانوية؟ </t>
  </si>
  <si>
    <t xml:space="preserve">ما هي وسيلة المواصلات الأكثر استخداما للذهاب إلى وحدة صحية حكومية أو عيادة؟ </t>
  </si>
  <si>
    <t xml:space="preserve">ما هي وسيلة المواصلات الأكثر استخداما للذهاب إلى الحضانة/الروضة/مدرسة ما قبل التعليم الابتدائى/ مركز الطفولة المبكرة؟
</t>
  </si>
  <si>
    <t xml:space="preserve">3. رفضت الاستجابة </t>
  </si>
  <si>
    <t>9. مغلق مؤقتاً</t>
  </si>
  <si>
    <r>
      <t xml:space="preserve">1. </t>
    </r>
    <r>
      <rPr>
        <sz val="11"/>
        <color theme="1"/>
        <rFont val="Arial"/>
        <family val="2"/>
        <charset val="204"/>
      </rPr>
      <t>موافق</t>
    </r>
  </si>
  <si>
    <r>
      <t xml:space="preserve">2. </t>
    </r>
    <r>
      <rPr>
        <sz val="11"/>
        <color theme="1"/>
        <rFont val="Arial"/>
        <family val="2"/>
        <charset val="204"/>
      </rPr>
      <t>غير</t>
    </r>
    <r>
      <rPr>
        <sz val="11"/>
        <color theme="1"/>
        <rFont val="Calibri"/>
        <family val="2"/>
        <scheme val="minor"/>
      </rPr>
      <t xml:space="preserve"> </t>
    </r>
    <r>
      <rPr>
        <sz val="11"/>
        <color theme="1"/>
        <rFont val="Arial"/>
        <family val="2"/>
        <charset val="204"/>
      </rPr>
      <t>موافق</t>
    </r>
  </si>
  <si>
    <t>5. غرفة أو أكثر في وحدة سكنية</t>
  </si>
  <si>
    <t>6. غرفة مستقلة أو أكثر</t>
  </si>
  <si>
    <r>
      <t xml:space="preserve">97. </t>
    </r>
    <r>
      <rPr>
        <sz val="11"/>
        <color theme="1"/>
        <rFont val="Arial"/>
        <family val="2"/>
        <charset val="204"/>
      </rPr>
      <t>أخرى</t>
    </r>
  </si>
  <si>
    <t>2. خشب</t>
  </si>
  <si>
    <t xml:space="preserve">3.طوب أو حجر </t>
  </si>
  <si>
    <t>4. بلاط  أو أسمنت</t>
  </si>
  <si>
    <t>5. سيراميك/كسر سيراميك/رخام</t>
  </si>
  <si>
    <t>1. الطوب، الحجر والأسمنت</t>
  </si>
  <si>
    <t>2. الطوب، الحجر والطين</t>
  </si>
  <si>
    <t>5. الطوب النيئ</t>
  </si>
  <si>
    <t>4. حديد مجلفن</t>
  </si>
  <si>
    <t xml:space="preserve">6. بلاط وألواح </t>
  </si>
  <si>
    <t>3. إيجار قانون قديم</t>
  </si>
  <si>
    <t>4. إيجار مفروش</t>
  </si>
  <si>
    <t>5. إيجار، قانون جديد</t>
  </si>
  <si>
    <t>6. ميزة عينية/هبة</t>
  </si>
  <si>
    <t xml:space="preserve">1. مواسير شبكة مياه عامة  - حنفية  داخل الوحدة السكنية </t>
  </si>
  <si>
    <t xml:space="preserve">2. مواسير شبكة مياه عامة  - حنفية خارج الوحدة السكنية </t>
  </si>
  <si>
    <t>3. بئر مغطى/طلمبة</t>
  </si>
  <si>
    <t xml:space="preserve">7. بائع مياه/عربه مياه </t>
  </si>
  <si>
    <t xml:space="preserve">7. بائع مياه/عربة مياه </t>
  </si>
  <si>
    <t>1. شبكة الكهرباء العامة</t>
  </si>
  <si>
    <t>3. البوتاجاز</t>
  </si>
  <si>
    <t>5. الطاقة الشمسية</t>
  </si>
  <si>
    <t xml:space="preserve">1. غاز طبيعى </t>
  </si>
  <si>
    <t>3. الكهرباء</t>
  </si>
  <si>
    <t>4. الطاقة الشمسية</t>
  </si>
  <si>
    <t>6. البوتاجاز</t>
  </si>
  <si>
    <t>1.Natural Gas</t>
  </si>
  <si>
    <t>6. Gas</t>
  </si>
  <si>
    <t>7. لا يوجد</t>
  </si>
  <si>
    <t xml:space="preserve">7. لا يوجد </t>
  </si>
  <si>
    <t>4. الكهرباء</t>
  </si>
  <si>
    <t xml:space="preserve">2. مرحاض داخل الوحدة السكنية متصل بخزان أرضي -- ترنش </t>
  </si>
  <si>
    <t xml:space="preserve">4. مرحاض مشترك داخل المبني متصل بخزان أرضي -- ترنش </t>
  </si>
  <si>
    <r>
      <t xml:space="preserve">5. </t>
    </r>
    <r>
      <rPr>
        <sz val="11"/>
        <color theme="1"/>
        <rFont val="Arial"/>
        <family val="2"/>
        <charset val="204"/>
      </rPr>
      <t>مرحاض</t>
    </r>
    <r>
      <rPr>
        <sz val="11"/>
        <color theme="1"/>
        <rFont val="Calibri"/>
        <family val="2"/>
        <scheme val="minor"/>
      </rPr>
      <t xml:space="preserve"> </t>
    </r>
    <r>
      <rPr>
        <sz val="11"/>
        <color theme="1"/>
        <rFont val="Arial"/>
        <family val="2"/>
        <charset val="204"/>
      </rPr>
      <t>عام</t>
    </r>
  </si>
  <si>
    <t>2. Private sewage system</t>
  </si>
  <si>
    <t>3. Tank</t>
  </si>
  <si>
    <t>4. Pipe connected to a stream</t>
  </si>
  <si>
    <t>5. Hole/ground absorbency</t>
  </si>
  <si>
    <t>6. N/A or none found</t>
  </si>
  <si>
    <t xml:space="preserve">1. تجمع بواسطة عربات جمع القمامة -- عامة </t>
  </si>
  <si>
    <t xml:space="preserve">2. جامع للقمامة -- خاص </t>
  </si>
  <si>
    <t xml:space="preserve">4. تحرق أو تدفن </t>
  </si>
  <si>
    <t xml:space="preserve">6. تلقى في الشارع أو الترعة </t>
  </si>
  <si>
    <t xml:space="preserve">5. لا يوجد </t>
  </si>
  <si>
    <t>1. Mother village</t>
  </si>
  <si>
    <t>1. Urban</t>
  </si>
  <si>
    <t>2. Rural</t>
  </si>
  <si>
    <t>borrowed goods or money from relatives or friends</t>
  </si>
  <si>
    <t>Hints and Constraints ARABIC</t>
  </si>
  <si>
    <t>Hints and Constraints ENGLISH</t>
  </si>
  <si>
    <t>Constraint: Cannot pick same member twice</t>
  </si>
  <si>
    <t>Constraint:  لا يمكن اختيار نفس الفرد مرتين</t>
  </si>
  <si>
    <t>Hints: يسجل المبلغ بالجنيه
(فى حالة "لاأعرف" سجل 99998. إذا رفض الفرد الإجابة، اسأله على مبلغ تقريبى، إذا رفض الإفصاح عن مبلغ تقريبي، سجل 99996)</t>
  </si>
  <si>
    <t>Hints: Answer as a percentage (0-100). *If share differs over items, record average share. 
Constraints: Must be 0-100.</t>
  </si>
  <si>
    <t>Hints: سجل النسبة من 0-100. إذا كانت النسبة تختلف من سلعة لأخرى، سجل متوسط نصيب الاسرة.
Constraints: سجل النسبة من 0-100</t>
  </si>
  <si>
    <t>في حالة لا أعرف سجل 999998</t>
  </si>
  <si>
    <t xml:space="preserve"> في حالة لا أعرف سجل  98</t>
  </si>
  <si>
    <t>*If don't know, write 98</t>
  </si>
  <si>
    <t xml:space="preserve"> *If don't know, write 999998</t>
  </si>
  <si>
    <t>What is the primary energy source for heating your dwelling?</t>
  </si>
  <si>
    <t>What is the most used type of transportation to primary school?</t>
  </si>
  <si>
    <t>What is the most used type of transportation to prepatory school?</t>
  </si>
  <si>
    <t>What is the most used type of transportation to secondary school?</t>
  </si>
  <si>
    <t>What is the most used type of transportation to a government health center or clinic?</t>
  </si>
  <si>
    <t>What is the most used type of transportation to a daycare/nursery/preschool/early childhood center?</t>
  </si>
  <si>
    <t>Interviewer: This section to be completed by the most knowledgeable person in the family</t>
  </si>
  <si>
    <t>Sold agricultural tools, seeds, or other inputs?</t>
  </si>
  <si>
    <t>Severely high level of livestock disease</t>
  </si>
  <si>
    <t>death of a working household member</t>
  </si>
  <si>
    <t>death of other household member</t>
  </si>
  <si>
    <t>14.2: Transfers from individuals</t>
  </si>
  <si>
    <t>indicator for split HH</t>
  </si>
  <si>
    <t>q13</t>
  </si>
  <si>
    <t>q14</t>
  </si>
  <si>
    <t>Split HH: hhid in 2012</t>
  </si>
  <si>
    <t>This is a split household</t>
  </si>
  <si>
    <t>q110_1</t>
  </si>
  <si>
    <t>q110_2</t>
  </si>
  <si>
    <t>q110_3</t>
  </si>
  <si>
    <t xml:space="preserve">Tablet unable to record GPS. Please try multiple times and to go outside the house before choosing this option. </t>
  </si>
  <si>
    <t>[item]?</t>
  </si>
  <si>
    <t>[بند]؟</t>
  </si>
  <si>
    <t>14.4 الصدمات/المشاكل والتكيف معها</t>
  </si>
  <si>
    <t>لجميع الأسر:
إذا وافقت على المشاركة في هذا البحث، فإننا سنقوم بطرح أسئلة خاصة بتعليمك – خبرتك العملية - الهجرة والعمل في الخارج – عمل المرأة - الدخل وكافة الأنشطة الاقتصادية الأخرى. وقد تستغرق المقابلة ساعتين أو أكثر وقد تحتاج الى أكثر من زيارة.</t>
  </si>
  <si>
    <t>الاسم الثنائى</t>
  </si>
  <si>
    <t>للأفراد البالغين من العمر 6+</t>
  </si>
  <si>
    <r>
      <rPr>
        <sz val="11"/>
        <color theme="1"/>
        <rFont val="Arial"/>
        <family val="2"/>
        <charset val="204"/>
      </rPr>
      <t>تعديل</t>
    </r>
    <r>
      <rPr>
        <sz val="11"/>
        <color theme="1"/>
        <rFont val="Calibri"/>
        <family val="2"/>
        <scheme val="minor"/>
      </rPr>
      <t xml:space="preserve"> </t>
    </r>
    <r>
      <rPr>
        <sz val="11"/>
        <color theme="1"/>
        <rFont val="Arial"/>
        <family val="2"/>
        <charset val="204"/>
      </rPr>
      <t>بيانات أفراد الأسرة</t>
    </r>
  </si>
  <si>
    <t>يلزم الانتهاء من جميع أفراد الأسرة البالغين من العمر 6 سنوات فأكبر فى عام 2018 قبل المتابعة</t>
  </si>
  <si>
    <t>اقتراض الطعام، أو الاعتماد على مساعدة من صديق أو قريب لتوفير أو شراء الطعام؟</t>
  </si>
  <si>
    <t>استهلاك البذور المخزنة للموسم المقبل؟</t>
  </si>
  <si>
    <t>الانفاق من المدخرات؟</t>
  </si>
  <si>
    <t>بيع أو استهلك الماشية؟</t>
  </si>
  <si>
    <t>بيع أدوات الزراعة أو البذور، أو غيرها من المدخلات؟</t>
  </si>
  <si>
    <t>العمل مقابل للغذاء فقط؟</t>
  </si>
  <si>
    <t>أخرى (حدد)</t>
  </si>
  <si>
    <r>
      <t xml:space="preserve">في العام الماضي، هل </t>
    </r>
    <r>
      <rPr>
        <u/>
        <sz val="11"/>
        <color theme="1"/>
        <rFont val="Arial"/>
        <family val="2"/>
      </rPr>
      <t>حصلت</t>
    </r>
    <r>
      <rPr>
        <sz val="11"/>
        <color theme="1"/>
        <rFont val="Arial"/>
        <family val="2"/>
        <charset val="204"/>
      </rPr>
      <t xml:space="preserve"> على دعم مالي أو عيني من أفراد فى العائلة (ممن ليسوا في الأسرة المعيشية) أو من جيران، لأي من البنود التالية:</t>
    </r>
  </si>
  <si>
    <t xml:space="preserve">نفقات طبية/عيادة/مستشفى </t>
  </si>
  <si>
    <t>ملابس</t>
  </si>
  <si>
    <t>غذاء (بما في ذلك أثناء الاحتفالات الدينية)</t>
  </si>
  <si>
    <t>العمل فى الزراعة</t>
  </si>
  <si>
    <t>رسوم مدرسية</t>
  </si>
  <si>
    <t>المعاول وغيرها من الأدوات الزراعية الصغيرة</t>
  </si>
  <si>
    <t>أدوات زراعية كبيرة</t>
  </si>
  <si>
    <t>مدخلات زراعية (مثل: البذور)</t>
  </si>
  <si>
    <r>
      <t xml:space="preserve">في العام الماضي، هل </t>
    </r>
    <r>
      <rPr>
        <u/>
        <sz val="11"/>
        <color theme="1"/>
        <rFont val="Arial"/>
        <family val="2"/>
      </rPr>
      <t>أرسلت</t>
    </r>
    <r>
      <rPr>
        <sz val="11"/>
        <color theme="1"/>
        <rFont val="Arial"/>
        <family val="2"/>
        <charset val="204"/>
      </rPr>
      <t xml:space="preserve"> دعم مالي أو عيني إلى أي من أفراد العائلة (ممن ليسوا في الأسرة المعيشية) أو إلى جيران، لأي من البنود التالية:</t>
    </r>
  </si>
  <si>
    <t>هل تعرضت أسرتك لأي من هذه الصدمات/المشاكل التالية، خلال الـ12 شهر الماضية؟</t>
  </si>
  <si>
    <t>جفاف/نقص المياه</t>
  </si>
  <si>
    <t>فيضانات عادية</t>
  </si>
  <si>
    <t>سيول</t>
  </si>
  <si>
    <t>انهيارات أرضية/تآكل</t>
  </si>
  <si>
    <t>مستوى متقدم من آفات وأمراض المحاصيل</t>
  </si>
  <si>
    <t xml:space="preserve">مستوى متقدم من أمراض الماشية </t>
  </si>
  <si>
    <t>نيران</t>
  </si>
  <si>
    <t>ارتفاع تكاليف المدخلات الزراعية (البذور والأسمدة وما إلى ذلك)</t>
  </si>
  <si>
    <t>نقص أو فقدان العمل</t>
  </si>
  <si>
    <t>مستوى متقدم من المرض البشري</t>
  </si>
  <si>
    <t>انخفاض دخل أفراد الأسرة</t>
  </si>
  <si>
    <t>مرض خطير أو حادث أصاب أحد أفراد الأسرة</t>
  </si>
  <si>
    <t>وفاة أحد أفراد الأسرة العاملين</t>
  </si>
  <si>
    <t>وفاة أحد أفراد الأسرة الآخرين</t>
  </si>
  <si>
    <t>سرقة مال/أشياء ثمينة/حيوانات</t>
  </si>
  <si>
    <t>صراعات/انعدام الأمن/العنف</t>
  </si>
  <si>
    <t>ماذا فعلت الأسرة لتعوض خسائرها من الصدمة/المشكلة التى واجهتها؟</t>
  </si>
  <si>
    <t>أكل كميات أقل من الطعام</t>
  </si>
  <si>
    <t>اقتراض سلع أو أموال من الأقارب أو الأصدقاء</t>
  </si>
  <si>
    <t>شراء سلع بالآجل (بالائتمان)</t>
  </si>
  <si>
    <t>هجرة بعض أفراد الأسرة</t>
  </si>
  <si>
    <t>بيع السلع المعمرة</t>
  </si>
  <si>
    <t>إرسال بعض أفراد الأسرة للعيش مع أقارب آخرين</t>
  </si>
  <si>
    <t>تخفيض الإنفاق على الصحة</t>
  </si>
  <si>
    <t>تخفيض الإنفاق على التعليم</t>
  </si>
  <si>
    <t>الانفاق من المدخرات</t>
  </si>
  <si>
    <t>بيع أو استهلاك الماشية</t>
  </si>
  <si>
    <t>بيع المحاصيل قبل الحصاد</t>
  </si>
  <si>
    <t>تأجير أرض</t>
  </si>
  <si>
    <t>بيع ارض</t>
  </si>
  <si>
    <t>اقتراض أموال من أحد المقرضين أو البنوك</t>
  </si>
  <si>
    <t>بيع مجوهرات</t>
  </si>
  <si>
    <t>تأجير أي أراضى للغير أو من الغير (بما فيها إيجار المشاركة)</t>
  </si>
  <si>
    <t>لا يوجد مشروعات</t>
  </si>
  <si>
    <t>تعديل بيانات الأفراد</t>
  </si>
  <si>
    <t>اسم الفرد المستجيب</t>
  </si>
  <si>
    <t>display.title.text</t>
  </si>
  <si>
    <t>display.title.text.english</t>
  </si>
  <si>
    <t>display.prompt.text</t>
  </si>
  <si>
    <t>display.prompt.text.english</t>
  </si>
  <si>
    <t>display.locale.text</t>
  </si>
  <si>
    <t>display.locale.text.english</t>
  </si>
  <si>
    <t>display.hint.text</t>
  </si>
  <si>
    <t>display.hint.text.english</t>
  </si>
  <si>
    <t>display.constraint_message.text</t>
  </si>
  <si>
    <t>display.constraint_message.text.english</t>
  </si>
  <si>
    <t>newRowInitialElementKeyToValueMap</t>
  </si>
  <si>
    <t>{}</t>
  </si>
  <si>
    <t>openRowInitialElementKeyToValueMap</t>
  </si>
  <si>
    <t>{q100 : data('q100')}</t>
  </si>
  <si>
    <t>What is the most used type of transportation to a hospital?</t>
  </si>
  <si>
    <r>
      <rPr>
        <sz val="11"/>
        <color theme="1"/>
        <rFont val="Arial"/>
        <family val="2"/>
        <charset val="204"/>
      </rPr>
      <t>ما</t>
    </r>
    <r>
      <rPr>
        <sz val="11"/>
        <color theme="1"/>
        <rFont val="Calibri"/>
        <family val="2"/>
        <scheme val="minor"/>
      </rPr>
      <t xml:space="preserve"> </t>
    </r>
    <r>
      <rPr>
        <sz val="11"/>
        <color theme="1"/>
        <rFont val="Arial"/>
        <family val="2"/>
        <charset val="204"/>
      </rPr>
      <t>هي</t>
    </r>
    <r>
      <rPr>
        <sz val="11"/>
        <color theme="1"/>
        <rFont val="Calibri"/>
        <family val="2"/>
        <scheme val="minor"/>
      </rPr>
      <t xml:space="preserve"> </t>
    </r>
    <r>
      <rPr>
        <sz val="11"/>
        <color theme="1"/>
        <rFont val="Arial"/>
        <family val="2"/>
        <charset val="204"/>
      </rPr>
      <t>وسيلة</t>
    </r>
    <r>
      <rPr>
        <sz val="11"/>
        <color theme="1"/>
        <rFont val="Calibri"/>
        <family val="2"/>
        <scheme val="minor"/>
      </rPr>
      <t xml:space="preserve"> </t>
    </r>
    <r>
      <rPr>
        <sz val="11"/>
        <color theme="1"/>
        <rFont val="Arial"/>
        <family val="2"/>
        <charset val="204"/>
      </rPr>
      <t>المواصلات</t>
    </r>
    <r>
      <rPr>
        <sz val="11"/>
        <color theme="1"/>
        <rFont val="Calibri"/>
        <family val="2"/>
        <scheme val="minor"/>
      </rPr>
      <t xml:space="preserve"> </t>
    </r>
    <r>
      <rPr>
        <sz val="11"/>
        <color theme="1"/>
        <rFont val="Arial"/>
        <family val="2"/>
        <charset val="204"/>
      </rPr>
      <t>الأكثر</t>
    </r>
    <r>
      <rPr>
        <sz val="11"/>
        <color theme="1"/>
        <rFont val="Calibri"/>
        <family val="2"/>
        <scheme val="minor"/>
      </rPr>
      <t xml:space="preserve"> </t>
    </r>
    <r>
      <rPr>
        <sz val="11"/>
        <color theme="1"/>
        <rFont val="Arial"/>
        <family val="2"/>
        <charset val="204"/>
      </rPr>
      <t>استخداما</t>
    </r>
    <r>
      <rPr>
        <sz val="11"/>
        <color theme="1"/>
        <rFont val="Calibri"/>
        <family val="2"/>
        <scheme val="minor"/>
      </rPr>
      <t xml:space="preserve"> </t>
    </r>
    <r>
      <rPr>
        <sz val="11"/>
        <color theme="1"/>
        <rFont val="Arial"/>
        <family val="2"/>
        <charset val="204"/>
      </rPr>
      <t>للذهاب</t>
    </r>
    <r>
      <rPr>
        <sz val="11"/>
        <color theme="1"/>
        <rFont val="Calibri"/>
        <family val="2"/>
        <scheme val="minor"/>
      </rPr>
      <t xml:space="preserve"> </t>
    </r>
    <r>
      <rPr>
        <sz val="11"/>
        <color theme="1"/>
        <rFont val="Arial"/>
        <family val="2"/>
        <charset val="204"/>
      </rPr>
      <t>إلى</t>
    </r>
    <r>
      <rPr>
        <sz val="11"/>
        <color theme="1"/>
        <rFont val="Calibri"/>
        <family val="2"/>
        <scheme val="minor"/>
      </rPr>
      <t xml:space="preserve"> </t>
    </r>
    <r>
      <rPr>
        <sz val="11"/>
        <color theme="1"/>
        <rFont val="Arial"/>
        <family val="2"/>
        <charset val="204"/>
      </rPr>
      <t>مستشفى؟</t>
    </r>
    <r>
      <rPr>
        <sz val="11"/>
        <color theme="1"/>
        <rFont val="Calibri"/>
        <family val="2"/>
        <scheme val="minor"/>
      </rPr>
      <t xml:space="preserve">
</t>
    </r>
  </si>
  <si>
    <t>1. Household questionnaire</t>
  </si>
  <si>
    <t>1. إستمارة الأسرة</t>
  </si>
  <si>
    <t>0.1 Statistical Identification</t>
  </si>
  <si>
    <t>0.1 Statistical identification</t>
  </si>
  <si>
    <t>0.2 2012 household members</t>
  </si>
  <si>
    <t>0.2 Tracking Splits</t>
  </si>
  <si>
    <t>0.3 Individual Data</t>
  </si>
  <si>
    <t>0.4 Housing Information</t>
  </si>
  <si>
    <t>0.4 Housing  data</t>
  </si>
  <si>
    <t>0.5 Individual questionnaires</t>
  </si>
  <si>
    <t>dwellingownership</t>
  </si>
  <si>
    <t>7. هدية</t>
  </si>
  <si>
    <t>7. In kind/gift</t>
  </si>
  <si>
    <t>0. ELMPS Field Questionnaire</t>
  </si>
  <si>
    <t>2. Hamlet</t>
  </si>
  <si>
    <t>formal_area</t>
  </si>
  <si>
    <t>1. Formal</t>
  </si>
  <si>
    <t>2. Informal</t>
  </si>
  <si>
    <t>Does the household live in a formal area or an informal area?</t>
  </si>
  <si>
    <t>4. Moved in entirety to a known location in same team's area</t>
  </si>
  <si>
    <t>5. Moved in entirety to a known location in different team's area</t>
  </si>
  <si>
    <t>End visit and transfer interview to other team to continue</t>
  </si>
  <si>
    <t>End second visit and transfer interview to other team to continue</t>
  </si>
  <si>
    <t>Team transfer</t>
  </si>
  <si>
    <t>Batch</t>
  </si>
  <si>
    <t>q15</t>
  </si>
  <si>
    <t>q16</t>
  </si>
  <si>
    <t>This is a household transferred from another team</t>
  </si>
  <si>
    <t>{q100 : data('q100'), q10 : data('q10')}</t>
  </si>
  <si>
    <t>{q100 : data('q100'), zhas_migrants : data('zhas_migrants')}</t>
  </si>
  <si>
    <t>_.chain(context).pluck('gov').uniq().map(function(gov){
return {name:gov, label:gov, data_value:gov, display: {title: {text: gov} } };
}).value()</t>
  </si>
  <si>
    <t>(function() {
  var seen = { }; 
  return _.chain(context).filter(function(place) {
    var keep = (seen[place.kism] !== true);
    seen[place.kism] = true;
    return keep; })
  .map(function(place) {
place.name = place.kism;
place.label = place.kism;
place.data_value = place.name;
place.display = {title: {text: place.label} };
return place;   
  }).value();
})()</t>
  </si>
  <si>
    <t>_.map(context, function(place){
place.name = place.shyakha;
place.label = place.shyakha;
place.data_value = place.name;
place.display = {title: {text: place.label} };
return place;
})</t>
  </si>
  <si>
    <t>4. انتقلت بأكملها الى مكان معلوم في نفس منطقة الفريق</t>
  </si>
  <si>
    <t xml:space="preserve">5. انتقلت بأكملها الى مكان معلوم في منطقة فريق أخر </t>
  </si>
  <si>
    <t>الرقم التعريفي للأسرة في 2012--{{data.q14}}</t>
  </si>
  <si>
    <t>هذه الأسرة منقولة من فريق آخر</t>
  </si>
  <si>
    <t>رقم الدفعة--{{data.q16}}</t>
  </si>
  <si>
    <t>التابلت غير قادر على تسجيل إحداثيات الموقع. يرجى المحاولة عدة مرات والخروج من المنزل قبل اللجوء إلى هذا الخيار.</t>
  </si>
  <si>
    <t>انهي الزيارة وانقل المقابلة إلى فريق آخر للاستمرار</t>
  </si>
  <si>
    <t>انهي الزيارة الثانية وانقل المقابلة إلى فريق آخر للاستمرار</t>
  </si>
  <si>
    <t>elementType</t>
  </si>
  <si>
    <t>custom_date</t>
  </si>
  <si>
    <t>async_assign_num_value</t>
  </si>
  <si>
    <t>Date must be today or earlier</t>
  </si>
  <si>
    <t>region_csv</t>
  </si>
  <si>
    <t>_.chain(context).pluck('region').uniq().map(function(region){
return {data_value:region,  display: {title: {text: region} } };
}).value()</t>
  </si>
  <si>
    <t>(function() {
  var seen = { }; 
  return _.chain(context).filter(function(place) {
    var keep = (seen[place.country] !== true);
    seen[place.country] = true;
    return keep; })
  .map(function(place) {
place.name = place.country;
place.label = place.country;
place.data_value = place.name;
place.display = {title: {text: place.label} };
return place;   
  }).value();
})()</t>
  </si>
  <si>
    <t>Note: Food smart card does not ask members receiving, but rather how many people are registered on the card</t>
  </si>
  <si>
    <t>How many people are registered on the food smart card?</t>
  </si>
  <si>
    <t>office furniture</t>
  </si>
  <si>
    <t>اثاث مكتبي</t>
  </si>
  <si>
    <t>خلال الـ12 شهر الماضية، هل قمت استهلكت أي من ]الحيوانات[؟</t>
  </si>
  <si>
    <t>كم عدد ]الحيوانات[ التي تملكها الأسرة خلص أو مشاركة؟</t>
  </si>
  <si>
    <t>من الشخص المسؤول عن رعاية ]الحيوانات[ في الأسرة؟ أول فرد</t>
  </si>
  <si>
    <t>كم عدد ]الحيوانات[  الذى تم بيعه؟</t>
  </si>
  <si>
    <t>هل تمتلك الأسرة أو أي من أفرادها أي ]الحيوانات[؟</t>
  </si>
  <si>
    <t xml:space="preserve">begin screen </t>
  </si>
  <si>
    <t>q16501_[#]</t>
  </si>
  <si>
    <t>16502_[#]</t>
  </si>
  <si>
    <t>Hints: *Write 999998 if don’t know</t>
  </si>
  <si>
    <t>Hints: *في حالة لا أعرف سجل  999998</t>
  </si>
  <si>
    <t>16503_[#]</t>
  </si>
  <si>
    <t>16504_[#]</t>
  </si>
  <si>
    <t>16505_[#]</t>
  </si>
  <si>
    <t>16506_[#]</t>
  </si>
  <si>
    <t>16507_[#]</t>
  </si>
  <si>
    <t>16508_[#]</t>
  </si>
  <si>
    <t>Constraints: Cannot pick same member twice</t>
  </si>
  <si>
    <t>Constraints: لايمكن اختيار نفس الفرد مرتين</t>
  </si>
  <si>
    <t>q16503_1_1</t>
  </si>
  <si>
    <t>q16504_1_1</t>
  </si>
  <si>
    <t>q16506_1_1</t>
  </si>
  <si>
    <t>q16508_1_1</t>
  </si>
  <si>
    <t>0. بداية الاستبيان</t>
  </si>
  <si>
    <r>
      <t xml:space="preserve">13.0 </t>
    </r>
    <r>
      <rPr>
        <sz val="11"/>
        <color theme="1"/>
        <rFont val="Arial"/>
        <family val="2"/>
        <charset val="204"/>
      </rPr>
      <t xml:space="preserve">البيانات التعريفية لاستمارة المشروعات </t>
    </r>
  </si>
  <si>
    <t>0.1 البيانات التعريفية لاستمارة الأسرة</t>
  </si>
  <si>
    <t xml:space="preserve">0.2 تتبع الانشقاقات </t>
  </si>
  <si>
    <t>0.4 بيانات السكن</t>
  </si>
  <si>
    <t>0.5 الاستمارة الفردية</t>
  </si>
  <si>
    <t>1. منطقة مخططة</t>
  </si>
  <si>
    <r>
      <t xml:space="preserve">14.4 </t>
    </r>
    <r>
      <rPr>
        <sz val="11"/>
        <color theme="1"/>
        <rFont val="Arial"/>
        <family val="2"/>
        <charset val="204"/>
      </rPr>
      <t>الصدمات</t>
    </r>
    <r>
      <rPr>
        <sz val="11"/>
        <color theme="1"/>
        <rFont val="Calibri"/>
        <family val="2"/>
        <scheme val="minor"/>
      </rPr>
      <t>/</t>
    </r>
    <r>
      <rPr>
        <sz val="11"/>
        <color theme="1"/>
        <rFont val="Arial"/>
        <family val="2"/>
        <charset val="204"/>
      </rPr>
      <t>المشاكل</t>
    </r>
    <r>
      <rPr>
        <sz val="11"/>
        <color theme="1"/>
        <rFont val="Calibri"/>
        <family val="2"/>
        <scheme val="minor"/>
      </rPr>
      <t xml:space="preserve">
 </t>
    </r>
    <r>
      <rPr>
        <sz val="11"/>
        <color theme="1"/>
        <rFont val="Arial"/>
        <family val="2"/>
        <charset val="204"/>
      </rPr>
      <t>والتكيف</t>
    </r>
    <r>
      <rPr>
        <sz val="11"/>
        <color theme="1"/>
        <rFont val="Calibri"/>
        <family val="2"/>
        <scheme val="minor"/>
      </rPr>
      <t xml:space="preserve"> </t>
    </r>
    <r>
      <rPr>
        <sz val="11"/>
        <color theme="1"/>
        <rFont val="Arial"/>
        <family val="2"/>
        <charset val="204"/>
      </rPr>
      <t>معها</t>
    </r>
  </si>
  <si>
    <r>
      <rPr>
        <sz val="11"/>
        <color theme="1"/>
        <rFont val="Arial"/>
        <family val="2"/>
        <charset val="204"/>
      </rPr>
      <t>كم</t>
    </r>
    <r>
      <rPr>
        <sz val="11"/>
        <color theme="1"/>
        <rFont val="Calibri"/>
        <family val="2"/>
        <scheme val="minor"/>
      </rPr>
      <t xml:space="preserve"> </t>
    </r>
    <r>
      <rPr>
        <sz val="11"/>
        <color theme="1"/>
        <rFont val="Arial"/>
        <family val="2"/>
        <charset val="204"/>
      </rPr>
      <t>عدد</t>
    </r>
    <r>
      <rPr>
        <sz val="11"/>
        <color theme="1"/>
        <rFont val="Calibri"/>
        <family val="2"/>
        <scheme val="minor"/>
      </rPr>
      <t xml:space="preserve"> </t>
    </r>
    <r>
      <rPr>
        <sz val="11"/>
        <color theme="1"/>
        <rFont val="Arial"/>
        <family val="2"/>
        <charset val="204"/>
      </rPr>
      <t>أفراد</t>
    </r>
    <r>
      <rPr>
        <sz val="11"/>
        <color theme="1"/>
        <rFont val="Calibri"/>
        <family val="2"/>
        <scheme val="minor"/>
      </rPr>
      <t xml:space="preserve"> </t>
    </r>
    <r>
      <rPr>
        <sz val="11"/>
        <color theme="1"/>
        <rFont val="Arial"/>
        <family val="2"/>
        <charset val="204"/>
      </rPr>
      <t>الأسرة؟</t>
    </r>
    <r>
      <rPr>
        <sz val="11"/>
        <color theme="1"/>
        <rFont val="Calibri"/>
        <family val="2"/>
        <scheme val="minor"/>
      </rPr>
      <t xml:space="preserve"> </t>
    </r>
  </si>
  <si>
    <r>
      <rPr>
        <sz val="11"/>
        <color theme="1"/>
        <rFont val="Arial"/>
        <family val="2"/>
        <charset val="204"/>
      </rPr>
      <t>نحتاج</t>
    </r>
    <r>
      <rPr>
        <sz val="11"/>
        <color theme="1"/>
        <rFont val="Calibri"/>
        <family val="2"/>
        <scheme val="minor"/>
      </rPr>
      <t xml:space="preserve"> </t>
    </r>
    <r>
      <rPr>
        <sz val="11"/>
        <color theme="1"/>
        <rFont val="Arial"/>
        <family val="2"/>
        <charset val="204"/>
      </rPr>
      <t>إلى</t>
    </r>
    <r>
      <rPr>
        <sz val="11"/>
        <color theme="1"/>
        <rFont val="Calibri"/>
        <family val="2"/>
        <scheme val="minor"/>
      </rPr>
      <t xml:space="preserve"> </t>
    </r>
    <r>
      <rPr>
        <sz val="11"/>
        <color theme="1"/>
        <rFont val="Arial"/>
        <family val="2"/>
        <charset val="204"/>
      </rPr>
      <t>فرد</t>
    </r>
    <r>
      <rPr>
        <sz val="11"/>
        <color theme="1"/>
        <rFont val="Calibri"/>
        <family val="2"/>
        <scheme val="minor"/>
      </rPr>
      <t xml:space="preserve"> </t>
    </r>
    <r>
      <rPr>
        <sz val="11"/>
        <color theme="1"/>
        <rFont val="Arial"/>
        <family val="2"/>
        <charset val="204"/>
      </rPr>
      <t>واحد</t>
    </r>
    <r>
      <rPr>
        <sz val="11"/>
        <color theme="1"/>
        <rFont val="Calibri"/>
        <family val="2"/>
        <scheme val="minor"/>
      </rPr>
      <t xml:space="preserve"> </t>
    </r>
    <r>
      <rPr>
        <sz val="11"/>
        <color theme="1"/>
        <rFont val="Arial"/>
        <family val="2"/>
        <charset val="204"/>
      </rPr>
      <t>على</t>
    </r>
    <r>
      <rPr>
        <sz val="11"/>
        <color theme="1"/>
        <rFont val="Calibri"/>
        <family val="2"/>
        <scheme val="minor"/>
      </rPr>
      <t xml:space="preserve"> </t>
    </r>
    <r>
      <rPr>
        <sz val="11"/>
        <color theme="1"/>
        <rFont val="Arial"/>
        <family val="2"/>
        <charset val="204"/>
      </rPr>
      <t>الأقل</t>
    </r>
  </si>
  <si>
    <t>إدخال بيانات كل أعضاء الأسرة فى 2018</t>
  </si>
  <si>
    <t>Enter data for all family members in 2018</t>
  </si>
  <si>
    <r>
      <rPr>
        <sz val="11"/>
        <color theme="1"/>
        <rFont val="Arial"/>
        <family val="2"/>
        <charset val="204"/>
      </rPr>
      <t>يرجى</t>
    </r>
    <r>
      <rPr>
        <sz val="11"/>
        <color theme="1"/>
        <rFont val="Calibri"/>
        <family val="2"/>
        <scheme val="minor"/>
      </rPr>
      <t xml:space="preserve"> </t>
    </r>
    <r>
      <rPr>
        <sz val="11"/>
        <color theme="1"/>
        <rFont val="Arial"/>
        <family val="2"/>
        <charset val="204"/>
      </rPr>
      <t>إدخال</t>
    </r>
    <r>
      <rPr>
        <sz val="11"/>
        <color theme="1"/>
        <rFont val="Calibri"/>
        <family val="2"/>
        <scheme val="minor"/>
      </rPr>
      <t xml:space="preserve"> </t>
    </r>
    <r>
      <rPr>
        <sz val="11"/>
        <color theme="1"/>
        <rFont val="Arial"/>
        <family val="2"/>
        <charset val="204"/>
      </rPr>
      <t>اسماء</t>
    </r>
    <r>
      <rPr>
        <sz val="11"/>
        <color theme="1"/>
        <rFont val="Calibri"/>
        <family val="2"/>
        <scheme val="minor"/>
      </rPr>
      <t xml:space="preserve"> </t>
    </r>
    <r>
      <rPr>
        <sz val="11"/>
        <color theme="1"/>
        <rFont val="Arial"/>
        <family val="2"/>
        <charset val="204"/>
      </rPr>
      <t>أفراد</t>
    </r>
    <r>
      <rPr>
        <sz val="11"/>
        <color theme="1"/>
        <rFont val="Calibri"/>
        <family val="2"/>
        <scheme val="minor"/>
      </rPr>
      <t xml:space="preserve"> </t>
    </r>
    <r>
      <rPr>
        <sz val="11"/>
        <color theme="1"/>
        <rFont val="Arial"/>
        <family val="2"/>
        <charset val="204"/>
      </rPr>
      <t>الأسرة</t>
    </r>
    <r>
      <rPr>
        <sz val="11"/>
        <color theme="1"/>
        <rFont val="Calibri"/>
        <family val="2"/>
        <scheme val="minor"/>
      </rPr>
      <t xml:space="preserve"> </t>
    </r>
    <r>
      <rPr>
        <sz val="11"/>
        <color theme="1"/>
        <rFont val="Arial"/>
        <family val="2"/>
        <charset val="204"/>
      </rPr>
      <t>بالترتيب</t>
    </r>
    <r>
      <rPr>
        <sz val="11"/>
        <color theme="1"/>
        <rFont val="Calibri"/>
        <family val="2"/>
        <scheme val="minor"/>
      </rPr>
      <t xml:space="preserve"> </t>
    </r>
    <r>
      <rPr>
        <sz val="11"/>
        <color theme="1"/>
        <rFont val="Arial"/>
        <family val="2"/>
        <charset val="204"/>
      </rPr>
      <t>التالي</t>
    </r>
    <r>
      <rPr>
        <sz val="11"/>
        <color theme="1"/>
        <rFont val="Calibri"/>
        <family val="2"/>
        <scheme val="minor"/>
      </rPr>
      <t xml:space="preserve">: </t>
    </r>
    <r>
      <rPr>
        <sz val="11"/>
        <color theme="1"/>
        <rFont val="Arial"/>
        <family val="2"/>
        <charset val="204"/>
      </rPr>
      <t>رئيس</t>
    </r>
    <r>
      <rPr>
        <sz val="11"/>
        <color theme="1"/>
        <rFont val="Calibri"/>
        <family val="2"/>
        <scheme val="minor"/>
      </rPr>
      <t xml:space="preserve"> </t>
    </r>
    <r>
      <rPr>
        <sz val="11"/>
        <color theme="1"/>
        <rFont val="Arial"/>
        <family val="2"/>
        <charset val="204"/>
      </rPr>
      <t>الأسرة؛</t>
    </r>
    <r>
      <rPr>
        <sz val="11"/>
        <color theme="1"/>
        <rFont val="Calibri"/>
        <family val="2"/>
        <scheme val="minor"/>
      </rPr>
      <t xml:space="preserve"> </t>
    </r>
    <r>
      <rPr>
        <sz val="11"/>
        <color theme="1"/>
        <rFont val="Arial"/>
        <family val="2"/>
        <charset val="204"/>
      </rPr>
      <t>زوج رئيس الأسرة؛</t>
    </r>
    <r>
      <rPr>
        <sz val="11"/>
        <color theme="1"/>
        <rFont val="Calibri"/>
        <family val="2"/>
        <scheme val="minor"/>
      </rPr>
      <t xml:space="preserve"> </t>
    </r>
    <r>
      <rPr>
        <sz val="11"/>
        <color theme="1"/>
        <rFont val="Arial"/>
        <family val="2"/>
        <charset val="204"/>
      </rPr>
      <t>الأبناء</t>
    </r>
    <r>
      <rPr>
        <sz val="11"/>
        <color theme="1"/>
        <rFont val="Calibri"/>
        <family val="2"/>
        <scheme val="minor"/>
      </rPr>
      <t xml:space="preserve"> </t>
    </r>
    <r>
      <rPr>
        <sz val="11"/>
        <color theme="1"/>
        <rFont val="Arial"/>
        <family val="2"/>
        <charset val="204"/>
      </rPr>
      <t>غير</t>
    </r>
    <r>
      <rPr>
        <sz val="11"/>
        <color theme="1"/>
        <rFont val="Calibri"/>
        <family val="2"/>
        <scheme val="minor"/>
      </rPr>
      <t xml:space="preserve"> </t>
    </r>
    <r>
      <rPr>
        <sz val="11"/>
        <color theme="1"/>
        <rFont val="Arial"/>
        <family val="2"/>
        <charset val="204"/>
      </rPr>
      <t>المتزوجين</t>
    </r>
    <r>
      <rPr>
        <sz val="11"/>
        <color theme="1"/>
        <rFont val="Calibri"/>
        <family val="2"/>
        <scheme val="minor"/>
      </rPr>
      <t xml:space="preserve"> (</t>
    </r>
    <r>
      <rPr>
        <sz val="11"/>
        <color theme="1"/>
        <rFont val="Arial"/>
        <family val="2"/>
        <charset val="204"/>
      </rPr>
      <t>بدءاً</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الأكبر</t>
    </r>
    <r>
      <rPr>
        <sz val="11"/>
        <color theme="1"/>
        <rFont val="Calibri"/>
        <family val="2"/>
        <scheme val="minor"/>
      </rPr>
      <t xml:space="preserve"> </t>
    </r>
    <r>
      <rPr>
        <sz val="11"/>
        <color theme="1"/>
        <rFont val="Arial"/>
        <family val="2"/>
        <charset val="204"/>
      </rPr>
      <t>سناً</t>
    </r>
    <r>
      <rPr>
        <sz val="11"/>
        <color theme="1"/>
        <rFont val="Calibri"/>
        <family val="2"/>
        <scheme val="minor"/>
      </rPr>
      <t>)</t>
    </r>
    <r>
      <rPr>
        <sz val="11"/>
        <color theme="1"/>
        <rFont val="Arial"/>
        <family val="2"/>
        <charset val="204"/>
      </rPr>
      <t>؛</t>
    </r>
    <r>
      <rPr>
        <sz val="11"/>
        <color theme="1"/>
        <rFont val="Calibri"/>
        <family val="2"/>
        <scheme val="minor"/>
      </rPr>
      <t xml:space="preserve"> </t>
    </r>
    <r>
      <rPr>
        <sz val="11"/>
        <color theme="1"/>
        <rFont val="Arial"/>
        <family val="2"/>
        <charset val="204"/>
      </rPr>
      <t>الأبناء</t>
    </r>
    <r>
      <rPr>
        <sz val="11"/>
        <color theme="1"/>
        <rFont val="Calibri"/>
        <family val="2"/>
        <scheme val="minor"/>
      </rPr>
      <t xml:space="preserve"> </t>
    </r>
    <r>
      <rPr>
        <sz val="11"/>
        <color theme="1"/>
        <rFont val="Arial"/>
        <family val="2"/>
        <charset val="204"/>
      </rPr>
      <t>المتزوجون</t>
    </r>
    <r>
      <rPr>
        <sz val="11"/>
        <color theme="1"/>
        <rFont val="Calibri"/>
        <family val="2"/>
        <scheme val="minor"/>
      </rPr>
      <t xml:space="preserve"> </t>
    </r>
    <r>
      <rPr>
        <sz val="11"/>
        <color theme="1"/>
        <rFont val="Arial"/>
        <family val="2"/>
        <charset val="204"/>
      </rPr>
      <t>وأفراد</t>
    </r>
    <r>
      <rPr>
        <sz val="11"/>
        <color theme="1"/>
        <rFont val="Calibri"/>
        <family val="2"/>
        <scheme val="minor"/>
      </rPr>
      <t xml:space="preserve"> </t>
    </r>
    <r>
      <rPr>
        <sz val="11"/>
        <color theme="1"/>
        <rFont val="Arial"/>
        <family val="2"/>
        <charset val="204"/>
      </rPr>
      <t>أسرهم؛</t>
    </r>
    <r>
      <rPr>
        <sz val="11"/>
        <color theme="1"/>
        <rFont val="Calibri"/>
        <family val="2"/>
        <scheme val="minor"/>
      </rPr>
      <t xml:space="preserve"> </t>
    </r>
    <r>
      <rPr>
        <sz val="11"/>
        <color theme="1"/>
        <rFont val="Arial"/>
        <family val="2"/>
        <charset val="204"/>
      </rPr>
      <t>أقارب</t>
    </r>
    <r>
      <rPr>
        <sz val="11"/>
        <color theme="1"/>
        <rFont val="Calibri"/>
        <family val="2"/>
        <scheme val="minor"/>
      </rPr>
      <t xml:space="preserve"> </t>
    </r>
    <r>
      <rPr>
        <sz val="11"/>
        <color theme="1"/>
        <rFont val="Arial"/>
        <family val="2"/>
        <charset val="204"/>
      </rPr>
      <t>آخرين؛</t>
    </r>
    <r>
      <rPr>
        <sz val="11"/>
        <color theme="1"/>
        <rFont val="Calibri"/>
        <family val="2"/>
        <scheme val="minor"/>
      </rPr>
      <t xml:space="preserve"> </t>
    </r>
    <r>
      <rPr>
        <sz val="11"/>
        <color theme="1"/>
        <rFont val="Arial"/>
        <family val="2"/>
        <charset val="204"/>
      </rPr>
      <t>أفراد</t>
    </r>
    <r>
      <rPr>
        <sz val="11"/>
        <color theme="1"/>
        <rFont val="Calibri"/>
        <family val="2"/>
        <scheme val="minor"/>
      </rPr>
      <t xml:space="preserve"> آخرين من </t>
    </r>
    <r>
      <rPr>
        <sz val="11"/>
        <color theme="1"/>
        <rFont val="Arial"/>
        <family val="2"/>
        <charset val="204"/>
      </rPr>
      <t>غير</t>
    </r>
    <r>
      <rPr>
        <sz val="11"/>
        <color theme="1"/>
        <rFont val="Calibri"/>
        <family val="2"/>
        <scheme val="minor"/>
      </rPr>
      <t xml:space="preserve"> ال</t>
    </r>
    <r>
      <rPr>
        <sz val="11"/>
        <color theme="1"/>
        <rFont val="Arial"/>
        <family val="2"/>
        <charset val="204"/>
      </rPr>
      <t>أقارب</t>
    </r>
  </si>
  <si>
    <t>Please enter the names of individuals in the family listed in the following order: head of household; spouse of head of household; unmarried children (starting from the oldest); Married children and their family members; other relatives; other non-relative individuals</t>
  </si>
  <si>
    <t>برنامج تكافل</t>
  </si>
  <si>
    <t>برنامج كرامة</t>
  </si>
  <si>
    <t>في الأسابيع الأربعة الماضية، هل قلقت ألا تحصل أسرتك على ما يكفي من الطعام؟</t>
  </si>
  <si>
    <t>في الأسابيع الأربعة الماضية، هل لم تتمكن أنت أو أي من أفراد الأسرة من تناول أنواع الطعام المفضلة بسبب نقص الدخل؟</t>
  </si>
  <si>
    <t>في الأسابيع الأربعة الماضية، هل اضطريت أنت أو أحد أفراد الأسرة إلى تناول أنواع محدودة من الأطعمة بسبب نقص الدخل؟</t>
  </si>
  <si>
    <t>في الأسابيع الأربعة الماضية، هل اضطريت أنت أو أحد أفراد الأسرة لتناول وجبة بكمية أقل مما أنت بحاجة إليه لأنه لم يكن هناك ما يكفي من الطعام؟</t>
  </si>
  <si>
    <t>في الأسابيع الأربعة الماضية، هل اضطريت أنت أو أحد أفراد الأسرة إلى تناول عدد أقل من الوجبات في اليوم لأنه لم يكن هناك ما يكفي من الطعام؟</t>
  </si>
  <si>
    <t>إرسال أفراد الأسرة لطلب المساعدة من الآخرين؟</t>
  </si>
  <si>
    <r>
      <rPr>
        <sz val="11"/>
        <color theme="1"/>
        <rFont val="Arial"/>
        <family val="2"/>
        <charset val="204"/>
      </rPr>
      <t>يجب أن تكون النسبة 0-100
في</t>
    </r>
    <r>
      <rPr>
        <sz val="11"/>
        <color theme="1"/>
        <rFont val="Calibri"/>
        <family val="2"/>
        <scheme val="minor"/>
      </rPr>
      <t xml:space="preserve"> </t>
    </r>
    <r>
      <rPr>
        <sz val="11"/>
        <color theme="1"/>
        <rFont val="Arial"/>
        <family val="2"/>
        <charset val="204"/>
      </rPr>
      <t>حالة</t>
    </r>
    <r>
      <rPr>
        <sz val="11"/>
        <color theme="1"/>
        <rFont val="Calibri"/>
        <family val="2"/>
        <scheme val="minor"/>
      </rPr>
      <t xml:space="preserve"> "</t>
    </r>
    <r>
      <rPr>
        <sz val="11"/>
        <color theme="1"/>
        <rFont val="Arial"/>
        <family val="2"/>
        <charset val="204"/>
      </rPr>
      <t>لا</t>
    </r>
    <r>
      <rPr>
        <sz val="11"/>
        <color theme="1"/>
        <rFont val="Calibri"/>
        <family val="2"/>
        <scheme val="minor"/>
      </rPr>
      <t xml:space="preserve"> أ</t>
    </r>
    <r>
      <rPr>
        <sz val="11"/>
        <color theme="1"/>
        <rFont val="Arial"/>
        <family val="2"/>
        <charset val="204"/>
      </rPr>
      <t xml:space="preserve">عرف"، سجل </t>
    </r>
    <r>
      <rPr>
        <sz val="11"/>
        <color theme="1"/>
        <rFont val="Calibri"/>
        <family val="2"/>
        <scheme val="minor"/>
      </rPr>
      <t>98</t>
    </r>
  </si>
  <si>
    <r>
      <rPr>
        <sz val="11"/>
        <color theme="1"/>
        <rFont val="Arial"/>
        <family val="2"/>
        <charset val="204"/>
      </rPr>
      <t>من</t>
    </r>
    <r>
      <rPr>
        <sz val="11"/>
        <color theme="1"/>
        <rFont val="Calibri"/>
        <family val="2"/>
        <scheme val="minor"/>
      </rPr>
      <t xml:space="preserve"> </t>
    </r>
    <r>
      <rPr>
        <sz val="11"/>
        <color theme="1"/>
        <rFont val="Arial"/>
        <family val="2"/>
        <charset val="204"/>
      </rPr>
      <t>الشخص</t>
    </r>
    <r>
      <rPr>
        <sz val="11"/>
        <color theme="1"/>
        <rFont val="Calibri"/>
        <family val="2"/>
        <scheme val="minor"/>
      </rPr>
      <t xml:space="preserve"> </t>
    </r>
    <r>
      <rPr>
        <sz val="11"/>
        <color theme="1"/>
        <rFont val="Arial"/>
        <family val="2"/>
        <charset val="204"/>
      </rPr>
      <t>المسؤول</t>
    </r>
    <r>
      <rPr>
        <sz val="11"/>
        <color theme="1"/>
        <rFont val="Calibri"/>
        <family val="2"/>
        <scheme val="minor"/>
      </rPr>
      <t xml:space="preserve"> </t>
    </r>
    <r>
      <rPr>
        <sz val="11"/>
        <color theme="1"/>
        <rFont val="Arial"/>
        <family val="2"/>
        <charset val="204"/>
      </rPr>
      <t>عن</t>
    </r>
    <r>
      <rPr>
        <sz val="11"/>
        <color theme="1"/>
        <rFont val="Calibri"/>
        <family val="2"/>
        <scheme val="minor"/>
      </rPr>
      <t xml:space="preserve"> </t>
    </r>
    <r>
      <rPr>
        <sz val="11"/>
        <color theme="1"/>
        <rFont val="Arial"/>
        <family val="2"/>
        <charset val="204"/>
      </rPr>
      <t>رعاية</t>
    </r>
    <r>
      <rPr>
        <sz val="11"/>
        <color theme="1"/>
        <rFont val="Calibri"/>
        <family val="2"/>
        <scheme val="minor"/>
      </rPr>
      <t xml:space="preserve"> ]</t>
    </r>
    <r>
      <rPr>
        <sz val="11"/>
        <color theme="1"/>
        <rFont val="Arial"/>
        <family val="2"/>
        <charset val="204"/>
      </rPr>
      <t>الحيوانات</t>
    </r>
    <r>
      <rPr>
        <sz val="11"/>
        <color theme="1"/>
        <rFont val="Calibri"/>
        <family val="2"/>
        <scheme val="minor"/>
      </rPr>
      <t xml:space="preserve">[ </t>
    </r>
    <r>
      <rPr>
        <sz val="11"/>
        <color theme="1"/>
        <rFont val="Arial"/>
        <family val="2"/>
        <charset val="204"/>
      </rPr>
      <t>في</t>
    </r>
    <r>
      <rPr>
        <sz val="11"/>
        <color theme="1"/>
        <rFont val="Calibri"/>
        <family val="2"/>
        <scheme val="minor"/>
      </rPr>
      <t xml:space="preserve"> </t>
    </r>
    <r>
      <rPr>
        <sz val="11"/>
        <color theme="1"/>
        <rFont val="Arial"/>
        <family val="2"/>
        <charset val="204"/>
      </rPr>
      <t>الأسرة؟</t>
    </r>
    <r>
      <rPr>
        <sz val="11"/>
        <color theme="1"/>
        <rFont val="Calibri"/>
        <family val="2"/>
        <scheme val="minor"/>
      </rPr>
      <t xml:space="preserve"> </t>
    </r>
    <r>
      <rPr>
        <sz val="11"/>
        <color theme="1"/>
        <rFont val="Arial"/>
        <family val="2"/>
        <charset val="204"/>
      </rPr>
      <t>الفرد</t>
    </r>
    <r>
      <rPr>
        <sz val="11"/>
        <color theme="1"/>
        <rFont val="Calibri"/>
        <family val="2"/>
        <scheme val="minor"/>
      </rPr>
      <t xml:space="preserve"> </t>
    </r>
    <r>
      <rPr>
        <sz val="11"/>
        <color theme="1"/>
        <rFont val="Arial"/>
        <family val="2"/>
        <charset val="204"/>
      </rPr>
      <t>الثالث</t>
    </r>
  </si>
  <si>
    <t xml:space="preserve">ما  قيمة البيع الإجمالية من ]الحيوانات[  ؟ (بالجنيه)
</t>
  </si>
  <si>
    <t>خلال الـ12 شهراً الماضية، هل أنفقت أي من النفقات التالية والمتعلقة بتربية الحيوان والطيور؟</t>
  </si>
  <si>
    <t>العمالة بأجر لرعاية وإطعام الحيوانات</t>
  </si>
  <si>
    <t>القيمة المادية (أو تقدير قيمة المدفوعات العينية، إن وجدت)</t>
  </si>
  <si>
    <t>علف الدواجن/المواشي</t>
  </si>
  <si>
    <t>خدمات وأدوية بيطرية</t>
  </si>
  <si>
    <t>زراعة العلف (مثل البرسيم)</t>
  </si>
  <si>
    <t>مدفوعات أخرى (حدد):</t>
  </si>
  <si>
    <t>boat</t>
  </si>
  <si>
    <t>Preamble: Now I would like to ask you about other household sales of produce (other than crops) during the past 12 months</t>
  </si>
  <si>
    <t>خلال الـ12 شهر الماضية، هل قمت ببيع أي من ]الحيوانات[؟</t>
  </si>
  <si>
    <t>Did you have any sales of [item] in the past 12 months?</t>
  </si>
  <si>
    <t xml:space="preserve">Milk </t>
  </si>
  <si>
    <t xml:space="preserve">Other dairy products (ex. cheese, butter, cream) </t>
  </si>
  <si>
    <t xml:space="preserve">Eggs </t>
  </si>
  <si>
    <t xml:space="preserve">Fish </t>
  </si>
  <si>
    <t xml:space="preserve">Honey </t>
  </si>
  <si>
    <t xml:space="preserve">Olive oil </t>
  </si>
  <si>
    <t xml:space="preserve">Other sales </t>
  </si>
  <si>
    <t xml:space="preserve">حليب </t>
  </si>
  <si>
    <t xml:space="preserve">منتجات حليب أخرى ( جبن، زبدة، قشطة) </t>
  </si>
  <si>
    <t>البيض</t>
  </si>
  <si>
    <t>سمك</t>
  </si>
  <si>
    <t xml:space="preserve">العسل </t>
  </si>
  <si>
    <t xml:space="preserve">زيت الزيتون </t>
  </si>
  <si>
    <t xml:space="preserve">أي مبيعات أخرى </t>
  </si>
  <si>
    <t>Value over past 7 days</t>
  </si>
  <si>
    <t>Value over past 12 months</t>
  </si>
  <si>
    <t>خلال الـ12 شهراً الماضية</t>
  </si>
  <si>
    <t>In the past 12 months</t>
  </si>
  <si>
    <t>roster_line_q16503_1</t>
  </si>
  <si>
    <t>[ data('q100') , data('q16503_1') ]</t>
  </si>
  <si>
    <t>roster_line_q16504_1</t>
  </si>
  <si>
    <t>[ data('q100') , data('q16504_1') ]</t>
  </si>
  <si>
    <t>roster_line_q16506_1</t>
  </si>
  <si>
    <t>[ data('q100') , data('q16506_1') ]</t>
  </si>
  <si>
    <t>roster_line_q16508_1</t>
  </si>
  <si>
    <t>[ data('q100') , data('q16508_1') ]</t>
  </si>
  <si>
    <t>roster_line_q16503_2</t>
  </si>
  <si>
    <t>[ data('q100') , data('q16503_2') ]</t>
  </si>
  <si>
    <t>roster_line_q16504_2</t>
  </si>
  <si>
    <t>[ data('q100') , data('q16504_2') ]</t>
  </si>
  <si>
    <t>roster_line_q16506_2</t>
  </si>
  <si>
    <t>[ data('q100') , data('q16506_2') ]</t>
  </si>
  <si>
    <t>roster_line_q16508_2</t>
  </si>
  <si>
    <t>[ data('q100') , data('q16508_2') ]</t>
  </si>
  <si>
    <t>roster_line_q16503_3</t>
  </si>
  <si>
    <t>[ data('q100') , data('q16503_3') ]</t>
  </si>
  <si>
    <t>roster_line_q16504_3</t>
  </si>
  <si>
    <t>[ data('q100') , data('q16504_3') ]</t>
  </si>
  <si>
    <t>roster_line_q16506_3</t>
  </si>
  <si>
    <t>[ data('q100') , data('q16506_3') ]</t>
  </si>
  <si>
    <t>roster_line_q16508_3</t>
  </si>
  <si>
    <t>[ data('q100') , data('q16508_3') ]</t>
  </si>
  <si>
    <t>roster_line_q16503_4</t>
  </si>
  <si>
    <t>[ data('q100') , data('q16503_4') ]</t>
  </si>
  <si>
    <t>roster_line_q16504_4</t>
  </si>
  <si>
    <t>[ data('q100') , data('q16504_4') ]</t>
  </si>
  <si>
    <t>roster_line_q16506_4</t>
  </si>
  <si>
    <t>[ data('q100') , data('q16506_4') ]</t>
  </si>
  <si>
    <t>roster_line_q16508_4</t>
  </si>
  <si>
    <t>[ data('q100') , data('q16508_4') ]</t>
  </si>
  <si>
    <t>roster_line_q16503_5</t>
  </si>
  <si>
    <t>[ data('q100') , data('q16503_5') ]</t>
  </si>
  <si>
    <t>roster_line_q16504_5</t>
  </si>
  <si>
    <t>[ data('q100') , data('q16504_5') ]</t>
  </si>
  <si>
    <t>roster_line_q16506_5</t>
  </si>
  <si>
    <t>[ data('q100') , data('q16506_5') ]</t>
  </si>
  <si>
    <t>roster_line_q16508_5</t>
  </si>
  <si>
    <t>[ data('q100') , data('q16508_5') ]</t>
  </si>
  <si>
    <t>roster_line_q16503_6</t>
  </si>
  <si>
    <t>[ data('q100') , data('q16503_6') ]</t>
  </si>
  <si>
    <t>roster_line_q16504_6</t>
  </si>
  <si>
    <t>[ data('q100') , data('q16504_6') ]</t>
  </si>
  <si>
    <t>roster_line_q16506_6</t>
  </si>
  <si>
    <t>[ data('q100') , data('q16506_6') ]</t>
  </si>
  <si>
    <t>roster_line_q16508_6</t>
  </si>
  <si>
    <t>[ data('q100') , data('q16508_6') ]</t>
  </si>
  <si>
    <t>roster_line_q16503_7</t>
  </si>
  <si>
    <t>[ data('q100') , data('q16503_7') ]</t>
  </si>
  <si>
    <t>roster_line_q16504_7</t>
  </si>
  <si>
    <t>[ data('q100') , data('q16504_7') ]</t>
  </si>
  <si>
    <t>roster_line_q16506_7</t>
  </si>
  <si>
    <t>[ data('q100') , data('q16506_7') ]</t>
  </si>
  <si>
    <t>roster_line_q16508_7</t>
  </si>
  <si>
    <t>[ data('q100') , data('q16508_7') ]</t>
  </si>
  <si>
    <t>Use 15 if more than 15 rooms. Do not count bathrooms and kitchens.</t>
  </si>
  <si>
    <t>For first visit result =5</t>
  </si>
  <si>
    <t>For second visit result =5</t>
  </si>
  <si>
    <t>For first visit result =4</t>
  </si>
  <si>
    <t>For second visit result =4</t>
  </si>
  <si>
    <t>End first visit and go to new address on future visit</t>
  </si>
  <si>
    <t>End second visit and go to new address on future visit</t>
  </si>
  <si>
    <t>Cairo, Alexiandria, Port Said, and Suez cannot be rural</t>
  </si>
  <si>
    <t>{0-23} : فى حالة "لاأعرف" سجل 999998</t>
  </si>
  <si>
    <t>{0-23} If don't know, type 999998</t>
  </si>
  <si>
    <t>فى حالة "لاأعرف" سجل 999998</t>
  </si>
  <si>
    <t>If don't know, type 999998</t>
  </si>
  <si>
    <t>حدد قسم/مركز جديد</t>
  </si>
  <si>
    <t>حدد شياخة \ قرية جديدة</t>
  </si>
  <si>
    <t>2. أحيانا ثلاث إلى عشر مرات في الأسابيع الأربعة الماضية</t>
  </si>
  <si>
    <t>3. . في كثير من الأحيان أكثر من عشر مرات في الأسابيع الأربعة الماضية</t>
  </si>
  <si>
    <t>2. منطقة غير مخططة  -- عشوائية</t>
  </si>
  <si>
    <t xml:space="preserve">4. الأسمنت المسلح  -- الخرسانة </t>
  </si>
  <si>
    <t xml:space="preserve">5. الأسمنت المسلح  -- الخرسانة </t>
  </si>
  <si>
    <t>1. نادرا مرة أو مرتين في الأسابيع الأربعة الماضية</t>
  </si>
  <si>
    <t>zStart_Date_and_Time</t>
  </si>
  <si>
    <t>zEnd_Date_and_Time</t>
  </si>
  <si>
    <t>0.3 بيانات الأفراد</t>
  </si>
  <si>
    <t>0.3 Individual data</t>
  </si>
  <si>
    <t>إنهى الزيارة الأولى وأذهب إلى العنوان الجديد في زيارة أخرى لاحقاً</t>
  </si>
  <si>
    <t>إنهى الزيارة الثانية وأذهب إلى العنوان الجديد في زيارة أخرى لاحقاً</t>
  </si>
  <si>
    <t>هل تعيش الأسرة في منطقة مخططة أو منطقة غير مخططة (عشوائية)؟</t>
  </si>
  <si>
    <t>القاهرة والأسكندرية وبورسعيد والسويس محافظات حضرية، ولا يوجد بها ريف.</t>
  </si>
  <si>
    <t>استخدم 15 إذا كان عدد الغرف أكبر من 15
لا يجب أن يتضمن عدد الحمامات والمطابخ</t>
  </si>
  <si>
    <r>
      <rPr>
        <sz val="11"/>
        <rFont val="Arial"/>
        <family val="2"/>
        <charset val="204"/>
      </rPr>
      <t>كم</t>
    </r>
    <r>
      <rPr>
        <sz val="11"/>
        <rFont val="Calibri"/>
        <family val="2"/>
        <scheme val="minor"/>
      </rPr>
      <t xml:space="preserve"> </t>
    </r>
    <r>
      <rPr>
        <sz val="11"/>
        <rFont val="Arial"/>
        <family val="2"/>
        <charset val="204"/>
      </rPr>
      <t>عدد</t>
    </r>
    <r>
      <rPr>
        <sz val="11"/>
        <rFont val="Calibri"/>
        <family val="2"/>
        <scheme val="minor"/>
      </rPr>
      <t xml:space="preserve"> </t>
    </r>
    <r>
      <rPr>
        <sz val="11"/>
        <rFont val="Arial"/>
        <family val="2"/>
        <charset val="204"/>
      </rPr>
      <t>الأفراد</t>
    </r>
    <r>
      <rPr>
        <sz val="11"/>
        <rFont val="Calibri"/>
        <family val="2"/>
        <scheme val="minor"/>
      </rPr>
      <t xml:space="preserve"> </t>
    </r>
    <r>
      <rPr>
        <sz val="11"/>
        <rFont val="Arial"/>
        <family val="2"/>
        <charset val="204"/>
      </rPr>
      <t>المسجلين</t>
    </r>
    <r>
      <rPr>
        <sz val="11"/>
        <rFont val="Calibri"/>
        <family val="2"/>
        <scheme val="minor"/>
      </rPr>
      <t xml:space="preserve"> </t>
    </r>
    <r>
      <rPr>
        <sz val="11"/>
        <rFont val="Arial"/>
        <family val="2"/>
        <charset val="204"/>
      </rPr>
      <t>على</t>
    </r>
    <r>
      <rPr>
        <sz val="11"/>
        <rFont val="Calibri"/>
        <family val="2"/>
        <scheme val="minor"/>
      </rPr>
      <t xml:space="preserve"> </t>
    </r>
    <r>
      <rPr>
        <sz val="11"/>
        <rFont val="Arial"/>
        <family val="2"/>
        <charset val="204"/>
      </rPr>
      <t>بطاقة</t>
    </r>
    <r>
      <rPr>
        <sz val="11"/>
        <rFont val="Calibri"/>
        <family val="2"/>
        <scheme val="minor"/>
      </rPr>
      <t xml:space="preserve"> ال</t>
    </r>
    <r>
      <rPr>
        <sz val="11"/>
        <rFont val="Arial"/>
        <family val="2"/>
        <charset val="204"/>
      </rPr>
      <t>غذاء الذكية؟</t>
    </r>
  </si>
  <si>
    <t>مركب/قارب</t>
  </si>
  <si>
    <t>هل كان للأسرة أي مبيعات من [item] خلال الـ12 شهر؟</t>
  </si>
  <si>
    <t>كم كانت قيمة تلك المبيعات من [item] (بالجنيه)؟</t>
  </si>
  <si>
    <t>من من أفراد الأسرة هو أكثر من اتخذ القرارات فيما يخص [item]؟</t>
  </si>
  <si>
    <t>القيمة خلال الـ7 أيام الماضية</t>
  </si>
  <si>
    <t>القيمة خلال الـ12 شهر الماضية</t>
  </si>
  <si>
    <t>Need at least one individual</t>
  </si>
  <si>
    <t>locked</t>
  </si>
  <si>
    <t>boolean</t>
  </si>
  <si>
    <t>unverifiedUserCanCreate</t>
  </si>
  <si>
    <t>Household is QC</t>
  </si>
  <si>
    <t>QC sections</t>
  </si>
  <si>
    <t>q17</t>
  </si>
  <si>
    <t>q18</t>
  </si>
  <si>
    <t>This is a quality control household</t>
  </si>
  <si>
    <t>today_first</t>
  </si>
  <si>
    <t>today_second</t>
  </si>
  <si>
    <t>today_third</t>
  </si>
  <si>
    <t>((now().getYear()+1900)+'-'+(now().getMonth()+1)+'-'+(now().getDate()))</t>
  </si>
  <si>
    <t>order_by</t>
  </si>
  <si>
    <t>q201 ASC</t>
  </si>
  <si>
    <t>q301 ASC</t>
  </si>
  <si>
    <t>q14103 ASC</t>
  </si>
  <si>
    <t>q14203 ASC</t>
  </si>
  <si>
    <t>q15103 ASC</t>
  </si>
  <si>
    <t>q16402_1 ASC</t>
  </si>
  <si>
    <t>أسرة منشقة</t>
  </si>
  <si>
    <t>هذه الأسرة خاصة بفريق مراقبة الجودة</t>
  </si>
  <si>
    <t>يجب أن يكون تاريخ اليوم أو يسبقه</t>
  </si>
  <si>
    <r>
      <t>*</t>
    </r>
    <r>
      <rPr>
        <sz val="12"/>
        <color theme="1"/>
        <rFont val="Arial"/>
        <family val="2"/>
      </rPr>
      <t>*</t>
    </r>
    <r>
      <rPr>
        <sz val="12"/>
        <color theme="1"/>
        <rFont val="Sultan bold"/>
      </rPr>
      <t xml:space="preserve"> يفضل استيفاء السؤال بالملاحظة ثم اسأل للتحقق</t>
    </r>
    <r>
      <rPr>
        <sz val="12"/>
        <color theme="1"/>
        <rFont val="Arial"/>
        <family val="2"/>
      </rPr>
      <t xml:space="preserve"> </t>
    </r>
    <r>
      <rPr>
        <sz val="12"/>
        <color theme="1"/>
        <rFont val="Sultan bold"/>
      </rPr>
      <t>عند الحاجة</t>
    </r>
  </si>
  <si>
    <t xml:space="preserve">** Fill the response by observation then ask for verification, if needed </t>
  </si>
  <si>
    <r>
      <t xml:space="preserve">1. </t>
    </r>
    <r>
      <rPr>
        <sz val="11"/>
        <color rgb="FF000000"/>
        <rFont val="Arial"/>
        <family val="2"/>
        <charset val="204"/>
      </rPr>
      <t>شبكة عامة</t>
    </r>
  </si>
  <si>
    <r>
      <t xml:space="preserve">2. </t>
    </r>
    <r>
      <rPr>
        <sz val="11"/>
        <color rgb="FF000000"/>
        <rFont val="Arial"/>
        <family val="2"/>
        <charset val="204"/>
      </rPr>
      <t>شبكة أهلية</t>
    </r>
  </si>
  <si>
    <r>
      <t xml:space="preserve">3. </t>
    </r>
    <r>
      <rPr>
        <sz val="11"/>
        <color rgb="FF000000"/>
        <rFont val="Arial"/>
        <family val="2"/>
        <charset val="204"/>
      </rPr>
      <t>ترنش</t>
    </r>
  </si>
  <si>
    <r>
      <t xml:space="preserve">4. </t>
    </r>
    <r>
      <rPr>
        <sz val="11"/>
        <color rgb="FF000000"/>
        <rFont val="Arial"/>
        <family val="2"/>
        <charset val="204"/>
      </rPr>
      <t>ماسورة متصلة بمصرف/ترعة</t>
    </r>
  </si>
  <si>
    <r>
      <t xml:space="preserve">5. </t>
    </r>
    <r>
      <rPr>
        <sz val="11"/>
        <color rgb="FF000000"/>
        <rFont val="Arial"/>
        <family val="2"/>
        <charset val="204"/>
      </rPr>
      <t>حفرة/أرض امتصاصية/بيارة</t>
    </r>
  </si>
  <si>
    <r>
      <t xml:space="preserve">6. </t>
    </r>
    <r>
      <rPr>
        <sz val="11"/>
        <color rgb="FF000000"/>
        <rFont val="Arial"/>
        <family val="2"/>
        <charset val="204"/>
      </rPr>
      <t>لايوجد/لاينطبق</t>
    </r>
  </si>
  <si>
    <r>
      <rPr>
        <sz val="11"/>
        <color theme="1"/>
        <rFont val="Arial"/>
        <family val="2"/>
        <charset val="204"/>
      </rPr>
      <t xml:space="preserve"> تحتاج إلى استكمال بيانات جميع المشتغلين (حتى 5 أشخاص)</t>
    </r>
  </si>
  <si>
    <r>
      <t xml:space="preserve">1. </t>
    </r>
    <r>
      <rPr>
        <sz val="11"/>
        <color theme="1"/>
        <rFont val="Arial"/>
        <family val="2"/>
        <charset val="204"/>
      </rPr>
      <t>نعم</t>
    </r>
    <r>
      <rPr>
        <sz val="11"/>
        <color theme="1"/>
        <rFont val="Calibri"/>
        <family val="2"/>
        <scheme val="minor"/>
      </rPr>
      <t xml:space="preserve">
2.</t>
    </r>
    <r>
      <rPr>
        <sz val="11"/>
        <color theme="1"/>
        <rFont val="Arial"/>
        <family val="2"/>
        <charset val="204"/>
      </rPr>
      <t>لا</t>
    </r>
    <r>
      <rPr>
        <sz val="11"/>
        <color theme="1"/>
        <rFont val="Calibri"/>
        <family val="2"/>
        <scheme val="minor"/>
      </rPr>
      <t xml:space="preserve">
98. </t>
    </r>
    <r>
      <rPr>
        <sz val="11"/>
        <color theme="1"/>
        <rFont val="Arial"/>
        <family val="2"/>
        <charset val="204"/>
      </rPr>
      <t>لا</t>
    </r>
    <r>
      <rPr>
        <sz val="11"/>
        <color theme="1"/>
        <rFont val="Calibri"/>
        <family val="2"/>
        <scheme val="minor"/>
      </rPr>
      <t xml:space="preserve"> </t>
    </r>
    <r>
      <rPr>
        <sz val="11"/>
        <color theme="1"/>
        <rFont val="Arial"/>
        <family val="2"/>
        <charset val="204"/>
      </rPr>
      <t>أعرف</t>
    </r>
    <r>
      <rPr>
        <sz val="11"/>
        <color theme="1"/>
        <rFont val="Calibri"/>
        <family val="2"/>
        <scheme val="minor"/>
      </rPr>
      <t xml:space="preserve">
</t>
    </r>
  </si>
  <si>
    <t xml:space="preserve"> المهاجر هو كل شخص أقام مع الأسرة 6 أشهر على الأقلّ قبل السفر- الحد الأدنى للعمر 15 سنة</t>
  </si>
  <si>
    <t>في الأسابيع الأربعة الماضية، هل اضطررت أنت أو أي من أفراد الأسرة لتناول بعض الأطعمة التي لم تكن تريد أن تأكلها بسبب نقص الموارد للحصول على أنواع أخرى من المواد الغذائية؟</t>
  </si>
  <si>
    <t>في الأسابيع الأربعة الماضية، هل لم يكن هناك أي طعام من أي نوع في منزلك بسبب نقص دخل الاسرة؟</t>
  </si>
  <si>
    <t>في الأسابيع الأربعة الماضية، إذا كانت هناك أوقات لم يكن لديك فيها ما يكفي من الطعام أو المال لشراء الطعام، هل اضطرت أسرتك إلى:</t>
  </si>
  <si>
    <t>شراء الطعام بالآجل (بالائتمان/على النوتة)؟</t>
  </si>
  <si>
    <r>
      <rPr>
        <sz val="11"/>
        <color theme="1"/>
        <rFont val="Arial"/>
        <family val="2"/>
        <charset val="204"/>
      </rPr>
      <t>ما</t>
    </r>
    <r>
      <rPr>
        <sz val="11"/>
        <color theme="1"/>
        <rFont val="Calibri"/>
        <family val="2"/>
        <scheme val="minor"/>
      </rPr>
      <t xml:space="preserve"> </t>
    </r>
    <r>
      <rPr>
        <sz val="11"/>
        <color theme="1"/>
        <rFont val="Arial"/>
        <family val="2"/>
        <charset val="204"/>
      </rPr>
      <t>هي</t>
    </r>
    <r>
      <rPr>
        <sz val="11"/>
        <color theme="1"/>
        <rFont val="Calibri"/>
        <family val="2"/>
        <scheme val="minor"/>
      </rPr>
      <t xml:space="preserve"> </t>
    </r>
    <r>
      <rPr>
        <sz val="11"/>
        <color theme="1"/>
        <rFont val="Arial"/>
        <family val="2"/>
        <charset val="204"/>
      </rPr>
      <t>النسبة</t>
    </r>
    <r>
      <rPr>
        <sz val="11"/>
        <color theme="1"/>
        <rFont val="Calibri"/>
        <family val="2"/>
        <scheme val="minor"/>
      </rPr>
      <t xml:space="preserve"> </t>
    </r>
    <r>
      <rPr>
        <sz val="11"/>
        <color theme="1"/>
        <rFont val="Arial"/>
        <family val="2"/>
        <charset val="204"/>
      </rPr>
      <t>التي</t>
    </r>
    <r>
      <rPr>
        <sz val="11"/>
        <color theme="1"/>
        <rFont val="Calibri"/>
        <family val="2"/>
        <scheme val="minor"/>
      </rPr>
      <t xml:space="preserve"> </t>
    </r>
    <r>
      <rPr>
        <sz val="11"/>
        <color theme="1"/>
        <rFont val="Arial"/>
        <family val="2"/>
        <charset val="204"/>
      </rPr>
      <t>يحصل</t>
    </r>
    <r>
      <rPr>
        <sz val="11"/>
        <color theme="1"/>
        <rFont val="Calibri"/>
        <family val="2"/>
        <scheme val="minor"/>
      </rPr>
      <t xml:space="preserve"> </t>
    </r>
    <r>
      <rPr>
        <sz val="11"/>
        <color theme="1"/>
        <rFont val="Arial"/>
        <family val="2"/>
        <charset val="204"/>
      </rPr>
      <t>عليها</t>
    </r>
    <r>
      <rPr>
        <sz val="11"/>
        <color theme="1"/>
        <rFont val="Calibri"/>
        <family val="2"/>
        <scheme val="minor"/>
      </rPr>
      <t xml:space="preserve"> </t>
    </r>
    <r>
      <rPr>
        <sz val="11"/>
        <color theme="1"/>
        <rFont val="Arial"/>
        <family val="2"/>
        <charset val="204"/>
      </rPr>
      <t>صاحب</t>
    </r>
    <r>
      <rPr>
        <sz val="11"/>
        <color theme="1"/>
        <rFont val="Calibri"/>
        <family val="2"/>
        <scheme val="minor"/>
      </rPr>
      <t xml:space="preserve"> </t>
    </r>
    <r>
      <rPr>
        <sz val="11"/>
        <color theme="1"/>
        <rFont val="Arial"/>
        <family val="2"/>
        <charset val="204"/>
      </rPr>
      <t>الأرض</t>
    </r>
    <r>
      <rPr>
        <sz val="11"/>
        <color theme="1"/>
        <rFont val="Calibri"/>
        <family val="2"/>
        <scheme val="minor"/>
      </rPr>
      <t xml:space="preserve"> </t>
    </r>
    <r>
      <rPr>
        <sz val="11"/>
        <color theme="1"/>
        <rFont val="Arial"/>
        <family val="2"/>
        <charset val="204"/>
      </rPr>
      <t>من</t>
    </r>
    <r>
      <rPr>
        <sz val="11"/>
        <color theme="1"/>
        <rFont val="Calibri"/>
        <family val="2"/>
        <scheme val="minor"/>
      </rPr>
      <t xml:space="preserve"> </t>
    </r>
    <r>
      <rPr>
        <sz val="11"/>
        <color theme="1"/>
        <rFont val="Arial"/>
        <family val="2"/>
        <charset val="204"/>
      </rPr>
      <t>المشاركة</t>
    </r>
    <r>
      <rPr>
        <sz val="11"/>
        <color theme="1"/>
        <rFont val="Calibri"/>
        <family val="2"/>
        <scheme val="minor"/>
      </rPr>
      <t xml:space="preserve"> (%)</t>
    </r>
    <r>
      <rPr>
        <sz val="11"/>
        <color theme="1"/>
        <rFont val="Arial"/>
        <family val="2"/>
        <charset val="204"/>
      </rPr>
      <t>؟</t>
    </r>
  </si>
  <si>
    <r>
      <t xml:space="preserve">16.2 </t>
    </r>
    <r>
      <rPr>
        <sz val="11"/>
        <rFont val="Arial"/>
        <family val="2"/>
        <charset val="204"/>
      </rPr>
      <t>الأصول</t>
    </r>
    <r>
      <rPr>
        <sz val="11"/>
        <rFont val="Calibri"/>
        <family val="2"/>
        <scheme val="minor"/>
      </rPr>
      <t xml:space="preserve"> </t>
    </r>
    <r>
      <rPr>
        <sz val="11"/>
        <rFont val="Arial"/>
        <family val="2"/>
        <charset val="204"/>
      </rPr>
      <t>الزراعية</t>
    </r>
    <r>
      <rPr>
        <sz val="11"/>
        <rFont val="Calibri"/>
        <family val="2"/>
        <scheme val="minor"/>
      </rPr>
      <t xml:space="preserve">: </t>
    </r>
    <r>
      <rPr>
        <sz val="11"/>
        <rFont val="Arial"/>
        <family val="2"/>
        <charset val="204"/>
      </rPr>
      <t>تربية</t>
    </r>
    <r>
      <rPr>
        <sz val="11"/>
        <rFont val="Calibri"/>
        <family val="2"/>
        <scheme val="minor"/>
      </rPr>
      <t xml:space="preserve"> </t>
    </r>
    <r>
      <rPr>
        <sz val="11"/>
        <rFont val="Arial"/>
        <family val="2"/>
        <charset val="204"/>
      </rPr>
      <t>الحيوانات</t>
    </r>
    <r>
      <rPr>
        <sz val="11"/>
        <rFont val="Calibri"/>
        <family val="2"/>
        <scheme val="minor"/>
      </rPr>
      <t xml:space="preserve"> </t>
    </r>
    <r>
      <rPr>
        <sz val="11"/>
        <rFont val="Arial"/>
        <family val="2"/>
        <charset val="204"/>
      </rPr>
      <t>والطيور</t>
    </r>
  </si>
  <si>
    <t>16.2 الأصول الزراعية: تربية الحيوانات والطيور</t>
  </si>
  <si>
    <t>الحيوانات الأخرى</t>
  </si>
  <si>
    <t>الآن أريد أن أسألك عن مبيعات الأسرة من أي منتجات أخرى زراعية غير المحاصيل خلال الـ12 شهر الماضية</t>
  </si>
  <si>
    <t>11-13 digits. Include area code</t>
  </si>
  <si>
    <t>13-11 رقماً ويتضمن رمز المنطقة</t>
  </si>
  <si>
    <t>emp_indiv2</t>
  </si>
  <si>
    <t>self_indiv2</t>
  </si>
  <si>
    <t>ufw_indiv2</t>
  </si>
  <si>
    <t>zcheck_emp_indiv1</t>
  </si>
  <si>
    <t>zcheck_self_indiv1</t>
  </si>
  <si>
    <t>zcheck_ufw_indiv1</t>
  </si>
  <si>
    <t>zcheck_emp_indiv2</t>
  </si>
  <si>
    <t>zcheck_self_indiv2</t>
  </si>
  <si>
    <t>zcheck_ufw_indiv2</t>
  </si>
  <si>
    <t>emp_indiv1</t>
  </si>
  <si>
    <t>self_indiv1</t>
  </si>
  <si>
    <t>ufw_indiv1</t>
  </si>
  <si>
    <t>1. Walk</t>
  </si>
  <si>
    <t>3. Microbus/Private minibus</t>
  </si>
  <si>
    <t>4. Taxi</t>
  </si>
  <si>
    <t>5. Toktok</t>
  </si>
  <si>
    <t>6. Bike/motorcycle</t>
  </si>
  <si>
    <t>7. Private car</t>
  </si>
  <si>
    <t>8. School bus</t>
  </si>
  <si>
    <t xml:space="preserve">9. Different modes </t>
  </si>
  <si>
    <r>
      <t xml:space="preserve">2. </t>
    </r>
    <r>
      <rPr>
        <sz val="11"/>
        <color theme="1"/>
        <rFont val="Arial"/>
        <family val="2"/>
        <charset val="204"/>
      </rPr>
      <t>مواصلات عامة</t>
    </r>
  </si>
  <si>
    <r>
      <t xml:space="preserve">3. </t>
    </r>
    <r>
      <rPr>
        <sz val="11"/>
        <color theme="1"/>
        <rFont val="Arial"/>
        <family val="2"/>
        <charset val="204"/>
      </rPr>
      <t>ميكروباص/مينى باص خاص</t>
    </r>
    <r>
      <rPr>
        <sz val="11"/>
        <color theme="1"/>
        <rFont val="Calibri"/>
        <family val="2"/>
        <scheme val="minor"/>
      </rPr>
      <t xml:space="preserve">  </t>
    </r>
  </si>
  <si>
    <r>
      <t xml:space="preserve">4. </t>
    </r>
    <r>
      <rPr>
        <sz val="11"/>
        <color theme="1"/>
        <rFont val="Arial"/>
        <family val="2"/>
        <charset val="204"/>
      </rPr>
      <t>تاكسي</t>
    </r>
    <r>
      <rPr>
        <sz val="11"/>
        <color theme="1"/>
        <rFont val="Calibri"/>
        <family val="2"/>
        <scheme val="minor"/>
      </rPr>
      <t xml:space="preserve"> </t>
    </r>
  </si>
  <si>
    <r>
      <t xml:space="preserve">5. </t>
    </r>
    <r>
      <rPr>
        <sz val="11"/>
        <color theme="1"/>
        <rFont val="Arial"/>
        <family val="2"/>
        <charset val="204"/>
      </rPr>
      <t>توك توك</t>
    </r>
  </si>
  <si>
    <r>
      <t xml:space="preserve">6.  </t>
    </r>
    <r>
      <rPr>
        <sz val="11"/>
        <color theme="1"/>
        <rFont val="Arial"/>
        <family val="2"/>
        <charset val="204"/>
      </rPr>
      <t>دراجة / موتوسيكل</t>
    </r>
  </si>
  <si>
    <r>
      <t xml:space="preserve">7. </t>
    </r>
    <r>
      <rPr>
        <sz val="11"/>
        <color theme="1"/>
        <rFont val="Arial"/>
        <family val="2"/>
        <charset val="204"/>
      </rPr>
      <t>سيارة خاصة</t>
    </r>
  </si>
  <si>
    <r>
      <t xml:space="preserve">8. </t>
    </r>
    <r>
      <rPr>
        <sz val="11"/>
        <color theme="1"/>
        <rFont val="Arial"/>
        <family val="2"/>
        <charset val="204"/>
      </rPr>
      <t>أتوبيس المدرسة</t>
    </r>
  </si>
  <si>
    <r>
      <t xml:space="preserve"> 9. </t>
    </r>
    <r>
      <rPr>
        <sz val="11"/>
        <color theme="1"/>
        <rFont val="Arial"/>
        <family val="2"/>
        <charset val="204"/>
      </rPr>
      <t>وسائل مختلفة</t>
    </r>
  </si>
  <si>
    <r>
      <t xml:space="preserve">98. </t>
    </r>
    <r>
      <rPr>
        <sz val="11"/>
        <color theme="1"/>
        <rFont val="Arial"/>
        <family val="2"/>
        <charset val="204"/>
      </rPr>
      <t>لا أعرف</t>
    </r>
  </si>
  <si>
    <t xml:space="preserve">1. المشي  </t>
  </si>
  <si>
    <t xml:space="preserve">هل تمتلك الأسرة أو أي من أفرادها أي حيوانات أو طيور؟
</t>
  </si>
  <si>
    <t>الطيور والدواجن</t>
  </si>
  <si>
    <t>هل تمتلك الأسرة أي ممتلكات من [item]؟</t>
  </si>
  <si>
    <t>yes_ack</t>
  </si>
  <si>
    <t>defaultAccessOnCreation</t>
  </si>
  <si>
    <t>2018.05.09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</si>
</sst>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Calibri"/>
      <family val="2"/>
      <scheme val="minor"/>
    </font>
    <font>
      <sz val="12"/>
      <color theme="1"/>
      <name val="Calibri"/>
      <family val="2"/>
      <charset val="129"/>
      <scheme val="minor"/>
    </font>
    <font>
      <sz val="10"/>
      <color rgb="FF000000"/>
      <name val="Arial"/>
      <family val="2"/>
    </font>
    <font>
      <b/>
      <sz val="11"/>
      <color theme="1"/>
      <name val="Calibri"/>
      <family val="2"/>
      <scheme val="minor"/>
    </font>
    <font>
      <b/>
      <sz val="10"/>
      <color rgb="FF000000"/>
      <name val="Arial"/>
      <family val="2"/>
    </font>
    <font>
      <sz val="10"/>
      <color theme="1"/>
      <name val="Arial"/>
      <family val="2"/>
    </font>
    <font>
      <b/>
      <sz val="11"/>
      <name val="Calibri"/>
      <family val="2"/>
      <scheme val="minor"/>
    </font>
    <font>
      <b/>
      <sz val="10"/>
      <name val="Arial"/>
      <family val="2"/>
    </font>
    <font>
      <sz val="11"/>
      <color rgb="FF000000"/>
      <name val="Calibri"/>
      <family val="2"/>
      <scheme val="minor"/>
    </font>
    <font>
      <u/>
      <sz val="11"/>
      <color theme="10"/>
      <name val="Calibri"/>
      <family val="2"/>
      <scheme val="minor"/>
    </font>
    <font>
      <u/>
      <sz val="11"/>
      <color theme="11"/>
      <name val="Calibri"/>
      <family val="2"/>
      <scheme val="minor"/>
    </font>
    <font>
      <sz val="12"/>
      <color rgb="FF000000"/>
      <name val="Calibri"/>
      <family val="2"/>
      <charset val="1"/>
    </font>
    <font>
      <sz val="11"/>
      <name val="Calibri"/>
      <family val="2"/>
      <scheme val="minor"/>
    </font>
    <font>
      <b/>
      <sz val="11"/>
      <color rgb="FF000000"/>
      <name val="Calibri"/>
      <family val="2"/>
      <scheme val="minor"/>
    </font>
    <font>
      <sz val="11"/>
      <color rgb="FF444444"/>
      <name val="Calibri"/>
      <family val="2"/>
      <scheme val="minor"/>
    </font>
    <font>
      <sz val="11"/>
      <color theme="4"/>
      <name val="Calibri"/>
      <family val="2"/>
      <scheme val="minor"/>
    </font>
    <font>
      <sz val="11"/>
      <color theme="5"/>
      <name val="Calibri"/>
      <family val="2"/>
      <scheme val="minor"/>
    </font>
    <font>
      <sz val="12"/>
      <color rgb="FF000000"/>
      <name val="Arial"/>
      <family val="2"/>
    </font>
    <font>
      <sz val="12"/>
      <color rgb="FF000000"/>
      <name val="Calibri"/>
      <family val="2"/>
    </font>
    <font>
      <sz val="11"/>
      <color rgb="FF000000"/>
      <name val="Calibri"/>
      <family val="2"/>
      <charset val="1"/>
    </font>
    <font>
      <sz val="11"/>
      <color theme="1"/>
      <name val="Calibri "/>
    </font>
    <font>
      <sz val="11"/>
      <color theme="1"/>
      <name val="Arial"/>
      <family val="2"/>
      <charset val="204"/>
    </font>
    <font>
      <b/>
      <u/>
      <sz val="11"/>
      <color theme="1"/>
      <name val="Calibri"/>
      <family val="2"/>
      <scheme val="minor"/>
    </font>
    <font>
      <i/>
      <sz val="11"/>
      <color theme="1"/>
      <name val="Calibri"/>
      <family val="2"/>
      <scheme val="minor"/>
    </font>
    <font>
      <i/>
      <sz val="11"/>
      <color rgb="FF000000"/>
      <name val="Calibri"/>
      <family val="2"/>
      <scheme val="minor"/>
    </font>
    <font>
      <sz val="12"/>
      <name val="Calibri"/>
      <family val="2"/>
      <scheme val="minor"/>
    </font>
    <font>
      <sz val="10"/>
      <name val="Arial"/>
      <family val="2"/>
      <charset val="204"/>
    </font>
    <font>
      <sz val="12"/>
      <color indexed="206"/>
      <name val="Calibri"/>
      <family val="2"/>
      <charset val="1"/>
    </font>
    <font>
      <sz val="11"/>
      <name val="Arial"/>
      <family val="2"/>
      <charset val="204"/>
    </font>
    <font>
      <sz val="11"/>
      <color rgb="FF000000"/>
      <name val="Arial"/>
      <family val="2"/>
      <charset val="204"/>
    </font>
    <font>
      <sz val="11"/>
      <color rgb="FFFF0000"/>
      <name val="Calibri"/>
      <family val="2"/>
      <scheme val="minor"/>
    </font>
    <font>
      <u/>
      <sz val="9"/>
      <name val="Arial"/>
      <family val="2"/>
      <charset val="204"/>
    </font>
    <font>
      <b/>
      <sz val="10"/>
      <name val="Arial"/>
      <family val="2"/>
      <charset val="204"/>
    </font>
    <font>
      <b/>
      <sz val="12"/>
      <color rgb="FF444444"/>
      <name val="Trebuchet MS"/>
      <family val="2"/>
    </font>
    <font>
      <sz val="11"/>
      <color rgb="FF000000"/>
      <name val="Times New Roman"/>
      <family val="1"/>
    </font>
    <font>
      <sz val="10"/>
      <color rgb="FF000000"/>
      <name val="Times New Roman"/>
      <family val="1"/>
    </font>
    <font>
      <sz val="10"/>
      <name val="Arial"/>
      <family val="2"/>
    </font>
    <font>
      <sz val="11"/>
      <color theme="1"/>
      <name val="Calibri"/>
      <family val="2"/>
      <scheme val="minor"/>
    </font>
    <font>
      <sz val="12"/>
      <color rgb="FF000000"/>
      <name val="Calibri"/>
      <family val="2"/>
      <scheme val="minor"/>
    </font>
    <font>
      <u/>
      <sz val="12"/>
      <color theme="1"/>
      <name val="Calibri"/>
      <family val="2"/>
      <scheme val="minor"/>
    </font>
    <font>
      <sz val="10"/>
      <color theme="1"/>
      <name val="Calibri"/>
      <family val="2"/>
      <scheme val="minor"/>
    </font>
    <font>
      <sz val="11"/>
      <color theme="1"/>
      <name val="Calibri"/>
      <family val="2"/>
      <charset val="204"/>
      <scheme val="minor"/>
    </font>
    <font>
      <sz val="11"/>
      <name val="Calibri"/>
      <family val="2"/>
      <charset val="204"/>
      <scheme val="minor"/>
    </font>
    <font>
      <sz val="11"/>
      <color rgb="FF000000"/>
      <name val="Calibri"/>
      <family val="2"/>
    </font>
    <font>
      <sz val="11"/>
      <color rgb="FF000000"/>
      <name val="Arial"/>
      <family val="2"/>
    </font>
    <font>
      <sz val="11"/>
      <color rgb="FF000000"/>
      <name val="Calibri"/>
      <family val="2"/>
    </font>
    <font>
      <sz val="11"/>
      <color theme="1"/>
      <name val="Arial"/>
      <family val="2"/>
    </font>
    <font>
      <u/>
      <sz val="11"/>
      <color theme="1"/>
      <name val="Arial"/>
      <family val="2"/>
    </font>
    <font>
      <sz val="8.8000000000000007"/>
      <color rgb="FF000000"/>
      <name val="Calibri"/>
      <family val="2"/>
      <scheme val="minor"/>
    </font>
    <font>
      <sz val="13"/>
      <color rgb="FF222222"/>
      <name val="Arial"/>
      <family val="2"/>
    </font>
    <font>
      <b/>
      <sz val="12"/>
      <color theme="1"/>
      <name val="Arial"/>
      <family val="2"/>
    </font>
    <font>
      <sz val="12"/>
      <color theme="1"/>
      <name val="Arial"/>
      <family val="2"/>
    </font>
    <font>
      <sz val="12"/>
      <color theme="1"/>
      <name val="Sultan bold"/>
    </font>
  </fonts>
  <fills count="6">
    <fill>
      <patternFill patternType="none"/>
    </fill>
    <fill>
      <patternFill patternType="gray125"/>
    </fill>
    <fill>
      <patternFill patternType="solid">
        <fgColor theme="8"/>
        <bgColor indexed="64"/>
      </patternFill>
    </fill>
    <fill>
      <patternFill patternType="solid">
        <fgColor rgb="FFFFC000"/>
        <bgColor indexed="64"/>
      </patternFill>
    </fill>
    <fill>
      <patternFill patternType="solid">
        <fgColor theme="4"/>
        <bgColor indexed="64"/>
      </patternFill>
    </fill>
    <fill>
      <patternFill patternType="solid">
        <fgColor rgb="FFFFFF00"/>
        <bgColor indexed="64"/>
      </patternFill>
    </fill>
  </fills>
  <borders count="1">
    <border>
      <left/>
      <right/>
      <top/>
      <bottom/>
      <diagonal/>
    </border>
  </borders>
  <cellStyleXfs count="3763">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9"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7"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473">
    <xf numFmtId="0" fontId="0" fillId="0" borderId="0" xfId="0"/>
    <xf numFmtId="0" fontId="0" fillId="0" borderId="0" xfId="0" applyFont="1"/>
    <xf numFmtId="0" fontId="0" fillId="0" borderId="0" xfId="0" applyAlignment="1">
      <alignment wrapText="1"/>
    </xf>
    <xf numFmtId="0" fontId="0" fillId="0" borderId="0" xfId="0" applyAlignment="1">
      <alignment vertical="top"/>
    </xf>
    <xf numFmtId="0" fontId="2" fillId="0" borderId="0" xfId="0" applyFont="1"/>
    <xf numFmtId="0" fontId="3" fillId="0" borderId="0" xfId="0" applyFont="1"/>
    <xf numFmtId="0" fontId="3" fillId="0" borderId="0" xfId="0" applyFont="1" applyAlignment="1">
      <alignment wrapText="1"/>
    </xf>
    <xf numFmtId="0" fontId="3" fillId="0" borderId="0" xfId="0" applyFont="1" applyAlignment="1"/>
    <xf numFmtId="0" fontId="0" fillId="0" borderId="0" xfId="0" applyFill="1" applyAlignment="1">
      <alignment vertical="top"/>
    </xf>
    <xf numFmtId="0" fontId="0" fillId="0" borderId="0" xfId="0" applyFill="1"/>
    <xf numFmtId="0" fontId="0" fillId="0" borderId="0" xfId="0" applyAlignment="1">
      <alignment horizontal="left"/>
    </xf>
    <xf numFmtId="0" fontId="4" fillId="0" borderId="0" xfId="0" applyFont="1" applyAlignment="1"/>
    <xf numFmtId="0" fontId="0" fillId="0" borderId="0" xfId="0" applyAlignment="1"/>
    <xf numFmtId="0" fontId="2" fillId="0" borderId="0" xfId="0" applyFont="1" applyAlignment="1"/>
    <xf numFmtId="0" fontId="0" fillId="0" borderId="0" xfId="0" applyFont="1" applyAlignment="1"/>
    <xf numFmtId="0" fontId="6" fillId="0" borderId="0" xfId="0" applyFont="1" applyFill="1" applyAlignment="1"/>
    <xf numFmtId="0" fontId="8" fillId="0" borderId="0" xfId="0" applyFont="1" applyFill="1" applyAlignment="1"/>
    <xf numFmtId="0" fontId="2" fillId="0" borderId="0" xfId="0" applyFont="1" applyFill="1" applyAlignment="1"/>
    <xf numFmtId="0" fontId="0" fillId="0" borderId="0" xfId="0" applyFill="1" applyAlignment="1"/>
    <xf numFmtId="0" fontId="0" fillId="0" borderId="0" xfId="0" applyFont="1" applyFill="1" applyAlignment="1"/>
    <xf numFmtId="0" fontId="3" fillId="0" borderId="0" xfId="0" applyFont="1" applyAlignment="1">
      <alignment vertical="center"/>
    </xf>
    <xf numFmtId="0" fontId="0" fillId="0" borderId="0" xfId="0" applyFill="1" applyAlignment="1">
      <alignment horizontal="left"/>
    </xf>
    <xf numFmtId="0" fontId="0" fillId="0" borderId="0" xfId="0" applyFont="1" applyFill="1" applyAlignment="1">
      <alignment horizontal="left"/>
    </xf>
    <xf numFmtId="0" fontId="8" fillId="0" borderId="0" xfId="0" applyFont="1" applyFill="1" applyAlignment="1">
      <alignment horizontal="left"/>
    </xf>
    <xf numFmtId="0" fontId="2" fillId="0" borderId="0" xfId="0" applyFont="1" applyFill="1" applyBorder="1" applyAlignment="1">
      <alignment horizontal="right"/>
    </xf>
    <xf numFmtId="0" fontId="3" fillId="0" borderId="0" xfId="0" applyFont="1" applyAlignment="1">
      <alignment horizontal="left"/>
    </xf>
    <xf numFmtId="0" fontId="0" fillId="0" borderId="0" xfId="0" applyFont="1" applyAlignment="1">
      <alignment horizontal="left" vertical="top"/>
    </xf>
    <xf numFmtId="0" fontId="0" fillId="0" borderId="0" xfId="0" applyFill="1" applyBorder="1" applyAlignment="1"/>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ill="1" applyAlignment="1">
      <alignment wrapText="1"/>
    </xf>
    <xf numFmtId="0" fontId="0" fillId="0" borderId="0" xfId="0" applyFont="1" applyFill="1" applyAlignment="1">
      <alignment wrapText="1"/>
    </xf>
    <xf numFmtId="0" fontId="11" fillId="0" borderId="0" xfId="3" applyFont="1" applyAlignment="1"/>
    <xf numFmtId="0" fontId="3" fillId="0" borderId="0" xfId="0" applyFont="1" applyFill="1" applyAlignment="1"/>
    <xf numFmtId="0" fontId="2" fillId="0" borderId="0" xfId="0" applyFont="1" applyAlignment="1">
      <alignment vertical="top"/>
    </xf>
    <xf numFmtId="0" fontId="2" fillId="0" borderId="0" xfId="0" applyFont="1" applyAlignment="1">
      <alignment horizontal="right"/>
    </xf>
    <xf numFmtId="0" fontId="2" fillId="0" borderId="0" xfId="0" applyFont="1" applyFill="1" applyBorder="1" applyAlignment="1"/>
    <xf numFmtId="0" fontId="0" fillId="0" borderId="0" xfId="0" applyAlignment="1">
      <alignment horizontal="right"/>
    </xf>
    <xf numFmtId="0" fontId="2" fillId="0" borderId="0" xfId="0" applyFont="1" applyAlignment="1">
      <alignment horizontal="left"/>
    </xf>
    <xf numFmtId="0" fontId="2" fillId="0" borderId="0" xfId="0" applyFont="1" applyFill="1" applyBorder="1" applyAlignment="1">
      <alignment horizontal="left"/>
    </xf>
    <xf numFmtId="0" fontId="0" fillId="0" borderId="0" xfId="0" applyFont="1" applyFill="1" applyAlignment="1">
      <alignment horizontal="right"/>
    </xf>
    <xf numFmtId="0" fontId="0" fillId="0" borderId="0" xfId="0" applyAlignment="1">
      <alignment horizontal="right" wrapText="1"/>
    </xf>
    <xf numFmtId="0" fontId="0" fillId="0" borderId="0" xfId="0" applyFill="1" applyAlignment="1">
      <alignment horizontal="left" vertical="top"/>
    </xf>
    <xf numFmtId="0" fontId="0" fillId="0" borderId="0" xfId="0" applyFont="1" applyAlignment="1">
      <alignment horizontal="left"/>
    </xf>
    <xf numFmtId="0" fontId="12" fillId="0" borderId="0" xfId="0" applyFont="1" applyFill="1" applyAlignment="1">
      <alignment horizontal="left"/>
    </xf>
    <xf numFmtId="0" fontId="12" fillId="0" borderId="0" xfId="0" applyFont="1" applyFill="1"/>
    <xf numFmtId="0" fontId="0" fillId="0" borderId="0" xfId="0" applyFont="1" applyBorder="1" applyAlignment="1">
      <alignment horizontal="right" vertical="top" wrapText="1"/>
    </xf>
    <xf numFmtId="0" fontId="0" fillId="0" borderId="0" xfId="0" applyFont="1" applyAlignment="1">
      <alignment horizontal="right"/>
    </xf>
    <xf numFmtId="0" fontId="0" fillId="0" borderId="0" xfId="0" applyFont="1" applyFill="1" applyAlignment="1">
      <alignment horizontal="right" wrapText="1"/>
    </xf>
    <xf numFmtId="0" fontId="0" fillId="0" borderId="0" xfId="0" applyFont="1" applyFill="1" applyBorder="1" applyAlignment="1">
      <alignment horizontal="left"/>
    </xf>
    <xf numFmtId="0" fontId="0" fillId="0" borderId="0" xfId="0" applyFont="1" applyFill="1" applyBorder="1" applyAlignment="1"/>
    <xf numFmtId="0" fontId="13" fillId="0" borderId="0" xfId="0" applyFont="1" applyFill="1" applyAlignment="1">
      <alignment horizontal="right"/>
    </xf>
    <xf numFmtId="0" fontId="13" fillId="0" borderId="0" xfId="0" applyFont="1" applyFill="1" applyAlignment="1"/>
    <xf numFmtId="0" fontId="8" fillId="0" borderId="0" xfId="0" applyFont="1" applyFill="1" applyAlignment="1">
      <alignment horizontal="right"/>
    </xf>
    <xf numFmtId="0" fontId="12" fillId="0" borderId="0" xfId="0" applyFont="1" applyFill="1" applyAlignment="1"/>
    <xf numFmtId="0" fontId="15" fillId="0" borderId="0" xfId="0" applyFont="1" applyFill="1" applyAlignment="1"/>
    <xf numFmtId="0" fontId="16" fillId="0" borderId="0" xfId="0" applyFont="1" applyFill="1" applyAlignment="1"/>
    <xf numFmtId="0" fontId="12" fillId="0" borderId="0" xfId="0" applyFont="1" applyFill="1" applyBorder="1" applyAlignment="1"/>
    <xf numFmtId="0" fontId="0" fillId="0" borderId="0" xfId="0" applyFill="1" applyAlignment="1">
      <alignment horizontal="left" wrapText="1"/>
    </xf>
    <xf numFmtId="0" fontId="3" fillId="0" borderId="0" xfId="0" applyFont="1" applyFill="1" applyAlignment="1">
      <alignment horizontal="left" wrapText="1"/>
    </xf>
    <xf numFmtId="0" fontId="3" fillId="0" borderId="0" xfId="0" applyFont="1" applyBorder="1" applyAlignment="1">
      <alignment horizontal="left" wrapText="1"/>
    </xf>
    <xf numFmtId="0" fontId="20" fillId="0" borderId="0" xfId="0" applyFont="1"/>
    <xf numFmtId="0" fontId="13" fillId="0" borderId="0" xfId="0" applyFont="1" applyFill="1" applyAlignment="1">
      <alignment wrapText="1"/>
    </xf>
    <xf numFmtId="0" fontId="8" fillId="0" borderId="0" xfId="0" applyFont="1" applyFill="1" applyAlignment="1">
      <alignment wrapText="1"/>
    </xf>
    <xf numFmtId="0" fontId="0" fillId="0" borderId="0" xfId="0" applyFont="1" applyFill="1"/>
    <xf numFmtId="0" fontId="20" fillId="0" borderId="0" xfId="0" applyFont="1" applyFill="1"/>
    <xf numFmtId="0" fontId="0" fillId="0" borderId="0" xfId="0" applyFont="1" applyFill="1" applyAlignment="1">
      <alignment horizontal="left" indent="2"/>
    </xf>
    <xf numFmtId="0" fontId="0" fillId="0" borderId="0" xfId="0" applyFill="1" applyBorder="1" applyAlignment="1">
      <alignment horizontal="left" vertical="center" wrapText="1"/>
    </xf>
    <xf numFmtId="49" fontId="0" fillId="0" borderId="0" xfId="0" applyNumberFormat="1" applyFont="1" applyFill="1" applyAlignment="1"/>
    <xf numFmtId="49" fontId="8" fillId="0" borderId="0" xfId="0" quotePrefix="1" applyNumberFormat="1" applyFont="1" applyFill="1" applyAlignment="1"/>
    <xf numFmtId="0" fontId="0" fillId="0" borderId="0" xfId="0" applyFill="1" applyAlignment="1">
      <alignment horizontal="right" wrapText="1"/>
    </xf>
    <xf numFmtId="0" fontId="8" fillId="0" borderId="0" xfId="0" applyFont="1"/>
    <xf numFmtId="0" fontId="22" fillId="0" borderId="0" xfId="0" applyFont="1" applyFill="1" applyAlignment="1">
      <alignment horizontal="right"/>
    </xf>
    <xf numFmtId="0" fontId="13" fillId="0" borderId="0" xfId="0" applyFont="1" applyFill="1" applyAlignment="1">
      <alignment horizontal="right" wrapText="1"/>
    </xf>
    <xf numFmtId="0" fontId="3" fillId="0" borderId="0" xfId="0" applyFont="1" applyFill="1" applyAlignment="1">
      <alignment horizontal="right" wrapText="1"/>
    </xf>
    <xf numFmtId="0" fontId="0" fillId="0" borderId="0" xfId="0" applyFont="1" applyFill="1" applyBorder="1" applyAlignment="1">
      <alignment horizontal="left" vertical="top" wrapText="1"/>
    </xf>
    <xf numFmtId="0" fontId="0" fillId="0" borderId="0" xfId="0" applyFont="1" applyFill="1" applyBorder="1" applyAlignment="1">
      <alignment horizontal="right" wrapText="1"/>
    </xf>
    <xf numFmtId="0" fontId="0" fillId="0" borderId="0" xfId="0" applyFont="1" applyBorder="1" applyAlignment="1">
      <alignment vertical="top" wrapText="1"/>
    </xf>
    <xf numFmtId="0" fontId="8" fillId="0" borderId="0" xfId="0" applyFont="1" applyFill="1" applyAlignment="1">
      <alignment horizontal="right" wrapText="1"/>
    </xf>
    <xf numFmtId="0" fontId="22" fillId="0" borderId="0" xfId="0" applyFont="1" applyAlignment="1">
      <alignment horizontal="right" wrapText="1"/>
    </xf>
    <xf numFmtId="0" fontId="23" fillId="0" borderId="0" xfId="0" applyFont="1" applyFill="1" applyAlignment="1">
      <alignment horizontal="right"/>
    </xf>
    <xf numFmtId="0" fontId="0" fillId="2" borderId="0" xfId="0" applyFill="1" applyBorder="1" applyAlignment="1"/>
    <xf numFmtId="1" fontId="0" fillId="2" borderId="0" xfId="0" applyNumberFormat="1" applyFill="1" applyBorder="1" applyAlignment="1"/>
    <xf numFmtId="0" fontId="0" fillId="2" borderId="0" xfId="0" applyFill="1" applyBorder="1" applyAlignment="1">
      <alignment horizontal="left"/>
    </xf>
    <xf numFmtId="0" fontId="0" fillId="2" borderId="0" xfId="0" applyFont="1" applyFill="1" applyBorder="1" applyAlignment="1">
      <alignment horizontal="right"/>
    </xf>
    <xf numFmtId="0" fontId="0" fillId="0" borderId="0" xfId="0" applyFont="1" applyFill="1" applyAlignment="1">
      <alignment horizontal="left" wrapText="1"/>
    </xf>
    <xf numFmtId="0" fontId="0" fillId="0" borderId="0" xfId="0" applyFont="1" applyAlignment="1">
      <alignment horizontal="right" wrapText="1"/>
    </xf>
    <xf numFmtId="0" fontId="14" fillId="0" borderId="0" xfId="0" applyFont="1" applyFill="1" applyAlignment="1">
      <alignment wrapText="1"/>
    </xf>
    <xf numFmtId="0" fontId="0" fillId="0" borderId="0" xfId="0" applyFont="1" applyFill="1" applyAlignment="1">
      <alignment horizontal="left" indent="1"/>
    </xf>
    <xf numFmtId="0" fontId="8" fillId="0" borderId="0" xfId="0" applyFont="1" applyFill="1" applyAlignment="1">
      <alignment horizontal="left" indent="1"/>
    </xf>
    <xf numFmtId="0" fontId="8" fillId="0" borderId="0" xfId="0" applyFont="1" applyFill="1" applyAlignment="1">
      <alignment horizontal="left" indent="2"/>
    </xf>
    <xf numFmtId="0" fontId="8" fillId="0" borderId="0" xfId="0" applyFont="1" applyFill="1" applyAlignment="1">
      <alignment horizontal="left" indent="3"/>
    </xf>
    <xf numFmtId="0" fontId="0" fillId="0" borderId="0" xfId="0" applyFont="1" applyFill="1" applyAlignment="1">
      <alignment horizontal="left" indent="3"/>
    </xf>
    <xf numFmtId="0" fontId="8" fillId="0" borderId="0" xfId="0" applyFont="1" applyAlignment="1">
      <alignment horizontal="right" wrapText="1"/>
    </xf>
    <xf numFmtId="0" fontId="4" fillId="0" borderId="0" xfId="0" applyFont="1" applyFill="1" applyAlignment="1">
      <alignment wrapText="1"/>
    </xf>
    <xf numFmtId="0" fontId="22" fillId="0" borderId="0" xfId="0" applyFont="1" applyFill="1" applyAlignment="1">
      <alignment horizontal="left" wrapText="1"/>
    </xf>
    <xf numFmtId="0" fontId="2" fillId="2" borderId="0" xfId="0" applyFont="1" applyFill="1" applyBorder="1" applyAlignment="1"/>
    <xf numFmtId="0" fontId="2" fillId="2" borderId="0" xfId="0" applyFont="1" applyFill="1" applyBorder="1" applyAlignment="1">
      <alignment horizontal="left"/>
    </xf>
    <xf numFmtId="0" fontId="3" fillId="0" borderId="0" xfId="0" applyFont="1" applyFill="1" applyBorder="1" applyAlignment="1">
      <alignment wrapText="1"/>
    </xf>
    <xf numFmtId="0" fontId="0" fillId="0" borderId="0" xfId="0" applyNumberFormat="1" applyAlignment="1">
      <alignment wrapText="1"/>
    </xf>
    <xf numFmtId="0" fontId="8" fillId="0" borderId="0" xfId="0" applyFont="1" applyAlignment="1">
      <alignment wrapText="1"/>
    </xf>
    <xf numFmtId="0" fontId="7" fillId="0" borderId="0" xfId="0" applyFont="1" applyFill="1" applyAlignment="1">
      <alignment wrapText="1"/>
    </xf>
    <xf numFmtId="0" fontId="22" fillId="0" borderId="0" xfId="0" applyFont="1" applyFill="1" applyAlignment="1">
      <alignment horizontal="right" wrapText="1"/>
    </xf>
    <xf numFmtId="0" fontId="22" fillId="0" borderId="0" xfId="0" applyFont="1" applyAlignment="1">
      <alignment horizontal="left" wrapText="1"/>
    </xf>
    <xf numFmtId="0" fontId="23" fillId="0" borderId="0" xfId="0" applyFont="1" applyFill="1" applyAlignment="1">
      <alignment horizontal="right" wrapText="1"/>
    </xf>
    <xf numFmtId="0" fontId="24" fillId="0" borderId="0" xfId="0" applyFont="1" applyAlignment="1">
      <alignment horizontal="right" wrapText="1"/>
    </xf>
    <xf numFmtId="0" fontId="0" fillId="0" borderId="0" xfId="0" applyFill="1" applyAlignment="1">
      <alignment vertical="top" wrapText="1"/>
    </xf>
    <xf numFmtId="0" fontId="0" fillId="0" borderId="0" xfId="0" applyFill="1" applyAlignment="1">
      <alignment horizontal="left" wrapText="1" indent="2"/>
    </xf>
    <xf numFmtId="0" fontId="4" fillId="0" borderId="0" xfId="0" applyFont="1" applyFill="1" applyBorder="1" applyAlignment="1">
      <alignment wrapText="1"/>
    </xf>
    <xf numFmtId="49" fontId="4" fillId="0" borderId="0" xfId="0" applyNumberFormat="1" applyFont="1" applyFill="1" applyBorder="1" applyAlignment="1">
      <alignment wrapText="1"/>
    </xf>
    <xf numFmtId="0" fontId="0" fillId="0" borderId="0" xfId="0" applyFont="1" applyFill="1" applyBorder="1" applyAlignment="1">
      <alignment horizontal="left" wrapText="1"/>
    </xf>
    <xf numFmtId="0" fontId="11" fillId="0" borderId="0" xfId="0" applyFont="1" applyFill="1" applyAlignment="1"/>
    <xf numFmtId="0" fontId="11" fillId="0" borderId="0" xfId="8" applyFont="1" applyFill="1" applyAlignment="1"/>
    <xf numFmtId="0" fontId="3" fillId="0" borderId="0" xfId="0" applyFont="1" applyFill="1" applyAlignment="1">
      <alignment horizontal="left"/>
    </xf>
    <xf numFmtId="0" fontId="18" fillId="0" borderId="0" xfId="0" applyFont="1" applyFill="1" applyAlignment="1"/>
    <xf numFmtId="0" fontId="18" fillId="0" borderId="0" xfId="0" applyFont="1" applyFill="1"/>
    <xf numFmtId="0" fontId="0" fillId="0" borderId="0" xfId="0" applyFill="1" applyBorder="1" applyAlignment="1">
      <alignment wrapText="1"/>
    </xf>
    <xf numFmtId="0" fontId="12" fillId="0" borderId="0" xfId="0" applyFont="1" applyFill="1" applyAlignment="1">
      <alignment wrapText="1"/>
    </xf>
    <xf numFmtId="0" fontId="12" fillId="0" borderId="0" xfId="0" applyFont="1" applyFill="1" applyBorder="1" applyAlignment="1">
      <alignment horizontal="left" vertical="center" wrapText="1"/>
    </xf>
    <xf numFmtId="0" fontId="0" fillId="2" borderId="0" xfId="0" applyFill="1" applyAlignment="1"/>
    <xf numFmtId="0" fontId="0" fillId="2" borderId="0" xfId="0" applyFill="1" applyAlignment="1">
      <alignment vertical="top"/>
    </xf>
    <xf numFmtId="0" fontId="0" fillId="2" borderId="0" xfId="0" applyFill="1" applyAlignment="1">
      <alignment horizontal="right"/>
    </xf>
    <xf numFmtId="0" fontId="0" fillId="2" borderId="0" xfId="0" applyFill="1" applyAlignment="1">
      <alignment horizontal="left"/>
    </xf>
    <xf numFmtId="0" fontId="0" fillId="2" borderId="0" xfId="0" applyFill="1" applyAlignment="1">
      <alignment horizontal="left" vertical="top"/>
    </xf>
    <xf numFmtId="0" fontId="0" fillId="2" borderId="0" xfId="0" applyFill="1" applyAlignment="1">
      <alignment horizontal="right" vertical="top"/>
    </xf>
    <xf numFmtId="0" fontId="2" fillId="2" borderId="0" xfId="0" applyFont="1" applyFill="1" applyBorder="1" applyAlignment="1">
      <alignment horizontal="right"/>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23" fillId="0" borderId="0" xfId="0" applyFont="1" applyFill="1" applyAlignment="1">
      <alignment horizontal="right" vertical="center" wrapText="1"/>
    </xf>
    <xf numFmtId="0" fontId="0" fillId="0" borderId="0" xfId="0" applyFont="1" applyFill="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12" fillId="0" borderId="0" xfId="0" applyFont="1" applyFill="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horizontal="left" indent="1"/>
    </xf>
    <xf numFmtId="0" fontId="8" fillId="0" borderId="0" xfId="0" applyFont="1" applyAlignment="1">
      <alignment horizontal="left"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horizontal="left" indent="1"/>
    </xf>
    <xf numFmtId="0" fontId="0" fillId="0" borderId="0" xfId="0" applyFill="1" applyAlignment="1">
      <alignment horizontal="left" indent="2"/>
    </xf>
    <xf numFmtId="0" fontId="0" fillId="0" borderId="0" xfId="0" quotePrefix="1" applyFill="1"/>
    <xf numFmtId="0" fontId="2" fillId="0" borderId="0" xfId="349" applyFill="1" applyAlignment="1">
      <alignment wrapText="1"/>
    </xf>
    <xf numFmtId="0" fontId="0" fillId="0" borderId="0" xfId="0" quotePrefix="1" applyFill="1" applyAlignment="1">
      <alignment wrapText="1"/>
    </xf>
    <xf numFmtId="0" fontId="3" fillId="0" borderId="0" xfId="0" applyFont="1" applyAlignment="1">
      <alignment horizontal="right" wrapText="1"/>
    </xf>
    <xf numFmtId="49" fontId="5" fillId="0" borderId="0" xfId="0" applyNumberFormat="1" applyFont="1" applyFill="1" applyAlignment="1">
      <alignment wrapText="1"/>
    </xf>
    <xf numFmtId="49" fontId="0" fillId="0" borderId="0" xfId="0" applyNumberFormat="1" applyFont="1" applyFill="1" applyAlignment="1">
      <alignment wrapText="1"/>
    </xf>
    <xf numFmtId="0" fontId="8" fillId="0" borderId="0" xfId="0" applyFont="1" applyAlignment="1">
      <alignment horizontal="left" vertical="top"/>
    </xf>
    <xf numFmtId="0" fontId="8" fillId="0" borderId="0" xfId="0" applyFont="1" applyBorder="1" applyAlignment="1">
      <alignment wrapText="1"/>
    </xf>
    <xf numFmtId="0" fontId="8" fillId="0" borderId="0" xfId="0" applyFont="1" applyAlignment="1">
      <alignment horizontal="right"/>
    </xf>
    <xf numFmtId="0" fontId="8" fillId="0" borderId="0" xfId="0" applyFont="1" applyAlignment="1"/>
    <xf numFmtId="0" fontId="8" fillId="0" borderId="0" xfId="0" applyFont="1" applyBorder="1" applyAlignment="1">
      <alignment horizontal="right" vertical="top" indent="1"/>
    </xf>
    <xf numFmtId="0" fontId="19" fillId="0" borderId="0" xfId="0" applyFont="1" applyAlignment="1"/>
    <xf numFmtId="0" fontId="19" fillId="0" borderId="0" xfId="0" applyFont="1" applyAlignment="1">
      <alignment vertical="top"/>
    </xf>
    <xf numFmtId="0" fontId="8" fillId="0" borderId="0" xfId="0" applyFont="1" applyAlignment="1">
      <alignment vertical="top" wrapText="1"/>
    </xf>
    <xf numFmtId="0" fontId="0" fillId="0" borderId="0" xfId="0" applyFill="1" applyAlignment="1">
      <alignment horizontal="right"/>
    </xf>
    <xf numFmtId="0" fontId="11" fillId="0" borderId="0" xfId="0" applyFont="1" applyFill="1"/>
    <xf numFmtId="0" fontId="11" fillId="0" borderId="0" xfId="0" applyFont="1" applyFill="1" applyAlignment="1">
      <alignment wrapText="1"/>
    </xf>
    <xf numFmtId="0" fontId="0" fillId="0" borderId="0" xfId="0" applyFill="1" applyAlignment="1">
      <alignment horizontal="left" vertical="center" wrapText="1"/>
    </xf>
    <xf numFmtId="0" fontId="0" fillId="0" borderId="0" xfId="0" applyFont="1" applyFill="1" applyAlignment="1">
      <alignment horizontal="left" indent="4"/>
    </xf>
    <xf numFmtId="0" fontId="3" fillId="0" borderId="0" xfId="0" applyFont="1" applyFill="1" applyBorder="1" applyAlignment="1"/>
    <xf numFmtId="0" fontId="3" fillId="0" borderId="0" xfId="0" applyFont="1" applyFill="1" applyAlignment="1">
      <alignment wrapText="1"/>
    </xf>
    <xf numFmtId="0" fontId="0" fillId="0" borderId="0" xfId="0" applyFont="1" applyBorder="1" applyAlignment="1">
      <alignment wrapText="1"/>
    </xf>
    <xf numFmtId="0" fontId="0" fillId="0" borderId="0" xfId="0" applyFont="1" applyAlignment="1">
      <alignment horizontal="left" indent="2"/>
    </xf>
    <xf numFmtId="0" fontId="26" fillId="0" borderId="0" xfId="988" applyFont="1" applyFill="1" applyBorder="1" applyAlignment="1">
      <alignment horizontal="left" wrapText="1"/>
    </xf>
    <xf numFmtId="0" fontId="26" fillId="0" borderId="0" xfId="988" applyFont="1" applyFill="1" applyBorder="1" applyAlignment="1">
      <alignment wrapText="1"/>
    </xf>
    <xf numFmtId="0" fontId="27" fillId="0" borderId="0" xfId="8" applyFont="1" applyFill="1" applyAlignment="1">
      <alignment wrapText="1"/>
    </xf>
    <xf numFmtId="0" fontId="6" fillId="0" borderId="0" xfId="0" applyFont="1" applyFill="1" applyAlignment="1">
      <alignment horizontal="left" indent="1"/>
    </xf>
    <xf numFmtId="0" fontId="6" fillId="0" borderId="0" xfId="0" applyFont="1" applyFill="1" applyAlignment="1">
      <alignment wrapText="1"/>
    </xf>
    <xf numFmtId="0" fontId="19" fillId="0" borderId="0" xfId="0" applyFont="1" applyFill="1" applyAlignment="1">
      <alignment vertical="top"/>
    </xf>
    <xf numFmtId="0" fontId="2" fillId="0" borderId="0" xfId="349" applyFill="1" applyAlignment="1"/>
    <xf numFmtId="0" fontId="0" fillId="0" borderId="0" xfId="0" quotePrefix="1" applyFill="1" applyAlignment="1"/>
    <xf numFmtId="0" fontId="0" fillId="0" borderId="0" xfId="0" applyFont="1" applyFill="1" applyAlignment="1">
      <alignment horizontal="right" vertical="center"/>
    </xf>
    <xf numFmtId="0" fontId="21" fillId="0" borderId="0" xfId="0" applyFont="1" applyFill="1" applyAlignment="1">
      <alignment horizontal="right"/>
    </xf>
    <xf numFmtId="0" fontId="19" fillId="0" borderId="0" xfId="0" applyFont="1" applyFill="1" applyAlignment="1"/>
    <xf numFmtId="0" fontId="12" fillId="0" borderId="0" xfId="0" applyFont="1" applyFill="1" applyBorder="1" applyAlignment="1">
      <alignment wrapText="1"/>
    </xf>
    <xf numFmtId="0" fontId="12" fillId="0" borderId="0" xfId="0" applyFont="1" applyFill="1" applyAlignment="1">
      <alignment horizontal="left" indent="2"/>
    </xf>
    <xf numFmtId="0" fontId="12" fillId="0" borderId="0" xfId="0" applyFont="1" applyFill="1" applyAlignment="1">
      <alignment horizontal="right"/>
    </xf>
    <xf numFmtId="0" fontId="12" fillId="0" borderId="0" xfId="0" applyFont="1" applyFill="1" applyAlignment="1">
      <alignment horizontal="left" indent="1"/>
    </xf>
    <xf numFmtId="0" fontId="24" fillId="0" borderId="0" xfId="0" applyFont="1" applyBorder="1" applyAlignment="1">
      <alignment horizontal="right" wrapText="1"/>
    </xf>
    <xf numFmtId="0" fontId="23" fillId="0" borderId="0" xfId="0" applyFont="1" applyFill="1" applyBorder="1" applyAlignment="1">
      <alignment horizontal="right" vertical="center"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0" fillId="0" borderId="0" xfId="0" applyFont="1" applyFill="1" applyBorder="1"/>
    <xf numFmtId="0" fontId="26" fillId="0" borderId="0" xfId="988" applyFont="1" applyFill="1" applyBorder="1" applyAlignment="1">
      <alignment horizontal="center" wrapText="1"/>
    </xf>
    <xf numFmtId="0" fontId="23" fillId="0" borderId="0" xfId="0" applyFont="1" applyFill="1" applyBorder="1" applyAlignment="1">
      <alignment horizontal="right" wrapText="1"/>
    </xf>
    <xf numFmtId="0" fontId="12" fillId="0" borderId="0" xfId="0" applyFont="1" applyAlignment="1">
      <alignment wrapText="1"/>
    </xf>
    <xf numFmtId="0" fontId="8" fillId="0" borderId="0" xfId="0" applyFont="1" applyFill="1" applyAlignment="1">
      <alignment vertical="center" wrapText="1"/>
    </xf>
    <xf numFmtId="0" fontId="30" fillId="0" borderId="0" xfId="0" applyFont="1" applyFill="1" applyAlignment="1">
      <alignment wrapText="1"/>
    </xf>
    <xf numFmtId="0" fontId="30" fillId="0" borderId="0" xfId="0" applyFont="1" applyFill="1" applyAlignment="1"/>
    <xf numFmtId="0" fontId="12" fillId="0" borderId="0" xfId="0" applyFont="1" applyFill="1" applyAlignment="1">
      <alignment horizontal="left" wrapText="1"/>
    </xf>
    <xf numFmtId="0" fontId="6" fillId="0" borderId="0" xfId="0" applyFont="1" applyFill="1" applyAlignment="1">
      <alignment vertical="top" wrapText="1"/>
    </xf>
    <xf numFmtId="0" fontId="12" fillId="0" borderId="0" xfId="0" applyFont="1" applyFill="1" applyAlignment="1">
      <alignment horizontal="left" indent="4"/>
    </xf>
    <xf numFmtId="0" fontId="12" fillId="0" borderId="0" xfId="0" applyFont="1" applyFill="1" applyAlignment="1">
      <alignment horizontal="left" indent="6"/>
    </xf>
    <xf numFmtId="0" fontId="30" fillId="0" borderId="0" xfId="0" applyFont="1" applyFill="1" applyBorder="1" applyAlignment="1">
      <alignment horizontal="left" wrapText="1" indent="2"/>
    </xf>
    <xf numFmtId="0" fontId="26" fillId="0" borderId="0" xfId="0" applyFont="1" applyFill="1" applyBorder="1" applyAlignment="1">
      <alignment horizontal="right" wrapText="1"/>
    </xf>
    <xf numFmtId="0" fontId="26" fillId="0" borderId="0" xfId="988" applyFont="1" applyFill="1" applyBorder="1" applyAlignment="1">
      <alignment horizontal="center"/>
    </xf>
    <xf numFmtId="0" fontId="0" fillId="0" borderId="0" xfId="0" applyFont="1" applyFill="1" applyAlignment="1">
      <alignment horizontal="left" indent="6"/>
    </xf>
    <xf numFmtId="0" fontId="3" fillId="0" borderId="0" xfId="0" applyFont="1" applyFill="1" applyBorder="1" applyAlignment="1">
      <alignment horizontal="right" wrapText="1"/>
    </xf>
    <xf numFmtId="0" fontId="30" fillId="0" borderId="0" xfId="0" applyFont="1" applyFill="1" applyBorder="1" applyAlignment="1"/>
    <xf numFmtId="0" fontId="8" fillId="0" borderId="0" xfId="0" applyFont="1" applyFill="1" applyBorder="1" applyAlignment="1">
      <alignment vertical="top" wrapText="1"/>
    </xf>
    <xf numFmtId="0" fontId="0" fillId="0" borderId="0" xfId="0" applyFont="1" applyFill="1" applyBorder="1" applyAlignment="1">
      <alignment vertical="top" wrapText="1"/>
    </xf>
    <xf numFmtId="0" fontId="8" fillId="0" borderId="0" xfId="349" applyFont="1" applyFill="1" applyAlignment="1">
      <alignment wrapText="1"/>
    </xf>
    <xf numFmtId="0" fontId="8" fillId="0" borderId="0" xfId="349" applyFont="1" applyFill="1" applyAlignment="1">
      <alignment horizontal="right" wrapText="1"/>
    </xf>
    <xf numFmtId="0" fontId="23" fillId="0" borderId="0" xfId="0" applyFont="1" applyFill="1" applyAlignment="1">
      <alignment horizontal="left" vertical="center" wrapText="1"/>
    </xf>
    <xf numFmtId="0" fontId="8" fillId="0" borderId="0" xfId="349" applyFont="1" applyFill="1" applyAlignment="1">
      <alignment horizontal="left" wrapText="1"/>
    </xf>
    <xf numFmtId="0" fontId="33" fillId="0" borderId="0" xfId="0" applyFont="1"/>
    <xf numFmtId="0" fontId="1" fillId="0" borderId="0" xfId="0" applyFont="1"/>
    <xf numFmtId="0" fontId="13" fillId="0" borderId="0" xfId="0" applyFont="1" applyFill="1" applyBorder="1" applyAlignment="1"/>
    <xf numFmtId="0" fontId="26" fillId="0" borderId="0" xfId="988" applyFont="1" applyFill="1" applyAlignment="1">
      <alignment horizontal="right"/>
    </xf>
    <xf numFmtId="0" fontId="26" fillId="0" borderId="0" xfId="988" applyFont="1" applyFill="1" applyBorder="1" applyAlignment="1">
      <alignment horizontal="left" vertical="top" wrapText="1"/>
    </xf>
    <xf numFmtId="0" fontId="0" fillId="0" borderId="0" xfId="0" applyFill="1" applyBorder="1"/>
    <xf numFmtId="0" fontId="26" fillId="0" borderId="0" xfId="988" applyFont="1" applyFill="1" applyBorder="1" applyAlignment="1">
      <alignment vertical="center" wrapText="1"/>
    </xf>
    <xf numFmtId="0" fontId="26" fillId="0" borderId="0" xfId="988" applyNumberFormat="1" applyFont="1" applyFill="1" applyBorder="1" applyAlignment="1">
      <alignment horizontal="left"/>
    </xf>
    <xf numFmtId="0" fontId="26" fillId="0" borderId="0" xfId="988" applyFont="1" applyFill="1" applyBorder="1" applyAlignment="1">
      <alignment horizontal="left"/>
    </xf>
    <xf numFmtId="0" fontId="3" fillId="0" borderId="0" xfId="0" applyFont="1" applyFill="1" applyAlignment="1">
      <alignment vertical="top"/>
    </xf>
    <xf numFmtId="0" fontId="3" fillId="0" borderId="0" xfId="0" applyFont="1" applyFill="1" applyAlignment="1">
      <alignment vertical="top" wrapText="1"/>
    </xf>
    <xf numFmtId="0" fontId="3" fillId="0" borderId="0" xfId="0" applyFont="1" applyFill="1" applyBorder="1" applyAlignment="1">
      <alignment vertical="top" wrapText="1"/>
    </xf>
    <xf numFmtId="0" fontId="32" fillId="0" borderId="0" xfId="988" applyFont="1" applyFill="1" applyAlignment="1">
      <alignment wrapText="1"/>
    </xf>
    <xf numFmtId="0" fontId="32" fillId="0" borderId="0" xfId="988" applyFont="1" applyAlignment="1">
      <alignment wrapText="1"/>
    </xf>
    <xf numFmtId="0" fontId="13" fillId="0" borderId="0" xfId="0" applyFont="1" applyAlignment="1">
      <alignment horizontal="right" wrapText="1"/>
    </xf>
    <xf numFmtId="0" fontId="13" fillId="0" borderId="0" xfId="0" applyFont="1" applyAlignment="1">
      <alignment horizontal="left" wrapText="1"/>
    </xf>
    <xf numFmtId="0" fontId="24" fillId="0" borderId="0" xfId="0" applyFont="1" applyFill="1" applyBorder="1" applyAlignment="1">
      <alignment horizontal="right" wrapText="1"/>
    </xf>
    <xf numFmtId="0" fontId="24" fillId="0" borderId="0" xfId="0" applyFont="1" applyFill="1" applyAlignment="1">
      <alignment horizontal="right" wrapText="1"/>
    </xf>
    <xf numFmtId="0" fontId="31" fillId="0" borderId="0" xfId="988" applyFont="1" applyFill="1" applyBorder="1" applyAlignment="1">
      <alignment vertical="center" wrapText="1"/>
    </xf>
    <xf numFmtId="0" fontId="0" fillId="0" borderId="0" xfId="0" applyFont="1" applyFill="1" applyAlignment="1">
      <alignment vertical="top" wrapText="1"/>
    </xf>
    <xf numFmtId="0" fontId="26" fillId="0" borderId="0" xfId="0" applyFont="1" applyFill="1" applyBorder="1" applyAlignment="1">
      <alignment horizontal="right"/>
    </xf>
    <xf numFmtId="0" fontId="5" fillId="0" borderId="0" xfId="0" applyFont="1" applyFill="1"/>
    <xf numFmtId="0" fontId="26" fillId="0" borderId="0" xfId="988" applyFont="1" applyFill="1" applyAlignment="1">
      <alignment vertical="center" wrapText="1"/>
    </xf>
    <xf numFmtId="0" fontId="26" fillId="0" borderId="0" xfId="988" applyFont="1" applyFill="1" applyAlignment="1">
      <alignment vertical="center"/>
    </xf>
    <xf numFmtId="0" fontId="26" fillId="0" borderId="0" xfId="988" applyFont="1" applyFill="1" applyAlignment="1"/>
    <xf numFmtId="0" fontId="21" fillId="0" borderId="0" xfId="0" applyFont="1" applyFill="1" applyAlignment="1">
      <alignment horizontal="right" wrapText="1"/>
    </xf>
    <xf numFmtId="0" fontId="0" fillId="0" borderId="0" xfId="0" applyFont="1" applyFill="1" applyAlignment="1">
      <alignment horizontal="left" wrapText="1" indent="1"/>
    </xf>
    <xf numFmtId="0" fontId="12" fillId="0" borderId="0" xfId="0" applyFont="1" applyFill="1" applyBorder="1" applyAlignment="1">
      <alignment horizontal="left" wrapText="1"/>
    </xf>
    <xf numFmtId="0" fontId="34" fillId="0" borderId="0" xfId="0" applyFont="1" applyFill="1" applyBorder="1" applyAlignment="1">
      <alignment horizontal="right" vertical="center" wrapText="1" readingOrder="1"/>
    </xf>
    <xf numFmtId="0" fontId="26" fillId="0" borderId="0" xfId="988" applyFont="1" applyFill="1" applyBorder="1" applyAlignment="1">
      <alignment horizontal="right" readingOrder="1"/>
    </xf>
    <xf numFmtId="0" fontId="26" fillId="0" borderId="0" xfId="988" applyFont="1" applyFill="1" applyBorder="1" applyAlignment="1">
      <alignment horizontal="right" wrapText="1"/>
    </xf>
    <xf numFmtId="0" fontId="35" fillId="0" borderId="0" xfId="0" applyFont="1" applyFill="1" applyBorder="1" applyAlignment="1">
      <alignment horizontal="right" vertical="center" wrapText="1"/>
    </xf>
    <xf numFmtId="0" fontId="5" fillId="0" borderId="0" xfId="0" applyFont="1" applyFill="1" applyBorder="1"/>
    <xf numFmtId="0" fontId="7" fillId="0" borderId="0" xfId="988" applyFont="1" applyFill="1" applyBorder="1" applyAlignment="1">
      <alignment horizontal="right" readingOrder="2"/>
    </xf>
    <xf numFmtId="0" fontId="23" fillId="0" borderId="0" xfId="0" applyFont="1" applyFill="1" applyBorder="1" applyAlignment="1">
      <alignment horizontal="right" vertical="center"/>
    </xf>
    <xf numFmtId="0" fontId="26" fillId="0" borderId="0" xfId="988" applyFont="1" applyFill="1" applyBorder="1" applyAlignment="1">
      <alignment vertical="top" wrapText="1"/>
    </xf>
    <xf numFmtId="0" fontId="0" fillId="0" borderId="0" xfId="0" applyFont="1" applyFill="1" applyBorder="1" applyAlignment="1">
      <alignment horizontal="right" vertical="center"/>
    </xf>
    <xf numFmtId="0" fontId="8" fillId="0" borderId="0" xfId="349" applyFont="1" applyFill="1" applyAlignment="1">
      <alignment horizontal="right"/>
    </xf>
    <xf numFmtId="0" fontId="21" fillId="0" borderId="0" xfId="0" applyFont="1" applyFill="1" applyBorder="1" applyAlignment="1">
      <alignment wrapText="1"/>
    </xf>
    <xf numFmtId="0" fontId="26" fillId="0" borderId="0" xfId="988" applyFont="1" applyFill="1" applyBorder="1" applyAlignment="1">
      <alignment horizontal="right"/>
    </xf>
    <xf numFmtId="0" fontId="5" fillId="0" borderId="0" xfId="0" applyFont="1" applyFill="1" applyBorder="1" applyAlignment="1">
      <alignment horizontal="right"/>
    </xf>
    <xf numFmtId="0" fontId="3" fillId="0" borderId="0" xfId="0" applyFont="1" applyFill="1" applyAlignment="1">
      <alignment horizontal="right"/>
    </xf>
    <xf numFmtId="0" fontId="26" fillId="0" borderId="0" xfId="988" applyFont="1" applyFill="1" applyBorder="1" applyAlignment="1">
      <alignment horizontal="right" readingOrder="2"/>
    </xf>
    <xf numFmtId="0" fontId="12" fillId="2" borderId="0" xfId="0" applyFont="1" applyFill="1"/>
    <xf numFmtId="0" fontId="12" fillId="2" borderId="0" xfId="0" applyFont="1" applyFill="1" applyAlignment="1">
      <alignment wrapText="1"/>
    </xf>
    <xf numFmtId="0" fontId="6" fillId="2" borderId="0" xfId="0" applyFont="1" applyFill="1" applyAlignment="1">
      <alignment vertical="top" wrapText="1"/>
    </xf>
    <xf numFmtId="0" fontId="12" fillId="2" borderId="0" xfId="0" applyFont="1" applyFill="1" applyAlignment="1">
      <alignment horizontal="left"/>
    </xf>
    <xf numFmtId="0" fontId="12" fillId="2" borderId="0" xfId="0" applyFont="1" applyFill="1" applyAlignment="1"/>
    <xf numFmtId="0" fontId="0" fillId="3" borderId="0" xfId="0" applyFont="1" applyFill="1" applyAlignment="1">
      <alignment horizontal="right"/>
    </xf>
    <xf numFmtId="0" fontId="8" fillId="0" borderId="0" xfId="1366" applyFont="1" applyFill="1" applyAlignment="1"/>
    <xf numFmtId="0" fontId="29" fillId="0" borderId="0" xfId="1366" applyFont="1" applyFill="1" applyAlignment="1"/>
    <xf numFmtId="0" fontId="29" fillId="0" borderId="0" xfId="1366" applyFont="1" applyFill="1" applyAlignment="1">
      <alignment wrapText="1"/>
    </xf>
    <xf numFmtId="0" fontId="8" fillId="0" borderId="0" xfId="1366" applyFont="1" applyFill="1" applyAlignment="1">
      <alignment wrapText="1"/>
    </xf>
    <xf numFmtId="0" fontId="13" fillId="0" borderId="0" xfId="1821" applyFont="1" applyFill="1" applyAlignment="1">
      <alignment wrapText="1"/>
    </xf>
    <xf numFmtId="0" fontId="37" fillId="0" borderId="0" xfId="1821" applyFont="1" applyFill="1" applyAlignment="1"/>
    <xf numFmtId="0" fontId="37" fillId="0" borderId="0" xfId="1821" applyFont="1" applyFill="1" applyAlignment="1">
      <alignment wrapText="1"/>
    </xf>
    <xf numFmtId="0" fontId="8" fillId="0" borderId="0" xfId="1821" applyFont="1" applyFill="1" applyAlignment="1"/>
    <xf numFmtId="0" fontId="8" fillId="0" borderId="0" xfId="1821" applyFont="1" applyFill="1" applyAlignment="1">
      <alignment wrapText="1"/>
    </xf>
    <xf numFmtId="0" fontId="37" fillId="0" borderId="0" xfId="1821" applyFont="1" applyAlignment="1"/>
    <xf numFmtId="0" fontId="37" fillId="0" borderId="0" xfId="1821" applyFont="1" applyFill="1" applyBorder="1" applyAlignment="1"/>
    <xf numFmtId="0" fontId="37" fillId="0" borderId="0" xfId="1821" applyFont="1" applyFill="1" applyBorder="1" applyAlignment="1">
      <alignment wrapText="1"/>
    </xf>
    <xf numFmtId="0" fontId="8" fillId="0" borderId="0" xfId="1821" applyFont="1" applyFill="1" applyBorder="1" applyAlignment="1"/>
    <xf numFmtId="0" fontId="2" fillId="0" borderId="0" xfId="1366" applyFill="1" applyAlignment="1">
      <alignment wrapText="1"/>
    </xf>
    <xf numFmtId="0" fontId="8" fillId="0" borderId="0" xfId="1821" applyFont="1" applyFill="1" applyBorder="1" applyAlignment="1">
      <alignment wrapText="1"/>
    </xf>
    <xf numFmtId="0" fontId="37" fillId="0" borderId="0" xfId="1821" applyFont="1" applyBorder="1" applyAlignment="1"/>
    <xf numFmtId="0" fontId="37" fillId="0" borderId="0" xfId="1821" applyFont="1" applyBorder="1"/>
    <xf numFmtId="0" fontId="37" fillId="0" borderId="0" xfId="1821" applyFont="1" applyBorder="1" applyAlignment="1">
      <alignment wrapText="1"/>
    </xf>
    <xf numFmtId="0" fontId="2" fillId="0" borderId="0" xfId="1366" applyFill="1" applyAlignment="1">
      <alignment horizontal="right" wrapText="1"/>
    </xf>
    <xf numFmtId="0" fontId="8" fillId="0" borderId="0" xfId="1821" applyFont="1" applyFill="1" applyBorder="1"/>
    <xf numFmtId="0" fontId="0" fillId="0" borderId="0" xfId="1821" applyFont="1" applyBorder="1"/>
    <xf numFmtId="0" fontId="38" fillId="0" borderId="0" xfId="0" applyFont="1" applyAlignment="1">
      <alignment wrapText="1"/>
    </xf>
    <xf numFmtId="0" fontId="0" fillId="0" borderId="0" xfId="1821" applyFont="1" applyFill="1" applyBorder="1" applyAlignment="1"/>
    <xf numFmtId="0" fontId="0" fillId="0" borderId="0" xfId="1821" applyFont="1" applyFill="1" applyBorder="1" applyAlignment="1">
      <alignment wrapText="1"/>
    </xf>
    <xf numFmtId="0" fontId="0" fillId="0" borderId="0" xfId="0" applyAlignment="1">
      <alignment horizontal="left" wrapText="1"/>
    </xf>
    <xf numFmtId="0" fontId="38" fillId="0" borderId="0" xfId="0" applyFont="1" applyAlignment="1">
      <alignment horizontal="left" wrapText="1"/>
    </xf>
    <xf numFmtId="0" fontId="0" fillId="0" borderId="0" xfId="0" applyAlignment="1">
      <alignment horizontal="left" indent="1"/>
    </xf>
    <xf numFmtId="0" fontId="0" fillId="0" borderId="0" xfId="0" applyFont="1" applyFill="1" applyBorder="1" applyAlignment="1">
      <alignment horizontal="left" indent="4"/>
    </xf>
    <xf numFmtId="0" fontId="8" fillId="0" borderId="0" xfId="0" applyFont="1" applyFill="1" applyBorder="1"/>
    <xf numFmtId="0" fontId="0" fillId="0" borderId="0" xfId="0" applyFont="1" applyFill="1" applyBorder="1" applyAlignment="1">
      <alignment horizontal="left" indent="1"/>
    </xf>
    <xf numFmtId="0" fontId="2" fillId="0" borderId="0" xfId="0" applyFont="1" applyFill="1"/>
    <xf numFmtId="0" fontId="13" fillId="0" borderId="0" xfId="0" applyNumberFormat="1" applyFont="1"/>
    <xf numFmtId="0" fontId="13" fillId="0" borderId="0" xfId="0" applyNumberFormat="1" applyFont="1" applyAlignment="1"/>
    <xf numFmtId="0" fontId="0" fillId="0" borderId="0" xfId="0" applyNumberFormat="1" applyAlignment="1"/>
    <xf numFmtId="0" fontId="0" fillId="0" borderId="0" xfId="0" applyNumberFormat="1" applyFont="1" applyFill="1" applyBorder="1" applyAlignment="1"/>
    <xf numFmtId="0" fontId="0" fillId="0" borderId="0" xfId="0" applyNumberFormat="1" applyFont="1" applyAlignment="1"/>
    <xf numFmtId="0" fontId="0" fillId="0" borderId="0" xfId="0" applyNumberFormat="1" applyFont="1" applyFill="1" applyBorder="1" applyAlignment="1">
      <alignment horizontal="left" indent="1"/>
    </xf>
    <xf numFmtId="0" fontId="0" fillId="0" borderId="0" xfId="0" applyNumberFormat="1" applyFont="1"/>
    <xf numFmtId="0" fontId="3" fillId="0" borderId="0" xfId="0" applyFont="1" applyFill="1"/>
    <xf numFmtId="0" fontId="41" fillId="0" borderId="0" xfId="0" applyFont="1" applyFill="1" applyAlignment="1">
      <alignment horizontal="right" wrapText="1"/>
    </xf>
    <xf numFmtId="0" fontId="0" fillId="0" borderId="0" xfId="0" applyFont="1" applyFill="1" applyAlignment="1">
      <alignment horizontal="right" vertical="center" wrapText="1"/>
    </xf>
    <xf numFmtId="0" fontId="42" fillId="0" borderId="0" xfId="0" applyFont="1" applyFill="1" applyAlignment="1">
      <alignment wrapText="1"/>
    </xf>
    <xf numFmtId="0" fontId="29" fillId="0" borderId="0" xfId="0" applyFont="1" applyFill="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left" wrapText="1"/>
    </xf>
    <xf numFmtId="0" fontId="8" fillId="0" borderId="0" xfId="0" applyFont="1" applyFill="1"/>
    <xf numFmtId="0" fontId="0" fillId="0" borderId="0" xfId="0" applyFont="1" applyFill="1" applyBorder="1" applyAlignment="1">
      <alignment horizontal="right" vertical="top"/>
    </xf>
    <xf numFmtId="0" fontId="0" fillId="0" borderId="0" xfId="0" applyNumberFormat="1" applyFill="1" applyAlignment="1">
      <alignment wrapText="1"/>
    </xf>
    <xf numFmtId="0" fontId="8" fillId="0" borderId="0" xfId="0" applyFont="1" applyFill="1" applyBorder="1" applyAlignment="1">
      <alignment wrapText="1"/>
    </xf>
    <xf numFmtId="0" fontId="8" fillId="0" borderId="0" xfId="0" applyFont="1" applyFill="1" applyBorder="1" applyAlignment="1">
      <alignment horizontal="right" vertical="top" indent="1"/>
    </xf>
    <xf numFmtId="0" fontId="8" fillId="0" borderId="0" xfId="0" applyFont="1" applyFill="1" applyAlignment="1">
      <alignment vertical="top" wrapText="1"/>
    </xf>
    <xf numFmtId="0" fontId="29" fillId="0" borderId="0" xfId="1366" applyFont="1" applyFill="1" applyAlignment="1">
      <alignment horizontal="right" wrapText="1"/>
    </xf>
    <xf numFmtId="0" fontId="26" fillId="0" borderId="0" xfId="988" applyFont="1" applyFill="1" applyBorder="1" applyAlignment="1">
      <alignment horizontal="left" vertical="center" wrapText="1"/>
    </xf>
    <xf numFmtId="0" fontId="26" fillId="0" borderId="0" xfId="988" applyFont="1" applyFill="1" applyBorder="1" applyAlignment="1">
      <alignment horizontal="center" vertical="center" wrapText="1"/>
    </xf>
    <xf numFmtId="0" fontId="41" fillId="0" borderId="0" xfId="0" applyFont="1" applyFill="1" applyAlignment="1">
      <alignment horizontal="left" wrapText="1"/>
    </xf>
    <xf numFmtId="0" fontId="0" fillId="0" borderId="0" xfId="0" applyFont="1" applyFill="1" applyAlignment="1">
      <alignment horizontal="left" vertical="center" wrapText="1"/>
    </xf>
    <xf numFmtId="0" fontId="41" fillId="0" borderId="0" xfId="0" applyFont="1" applyFill="1" applyAlignment="1">
      <alignment wrapText="1"/>
    </xf>
    <xf numFmtId="0" fontId="12" fillId="0" borderId="0" xfId="0" applyFont="1" applyFill="1" applyAlignment="1">
      <alignment horizontal="right" wrapText="1"/>
    </xf>
    <xf numFmtId="0" fontId="42" fillId="0" borderId="0" xfId="0" applyFont="1" applyFill="1" applyAlignment="1">
      <alignment horizontal="right" wrapText="1"/>
    </xf>
    <xf numFmtId="0" fontId="12" fillId="0" borderId="0" xfId="988" applyFont="1" applyFill="1" applyAlignment="1">
      <alignment horizontal="right" readingOrder="2"/>
    </xf>
    <xf numFmtId="0" fontId="37" fillId="0" borderId="0" xfId="0" applyFont="1" applyFill="1" applyAlignment="1">
      <alignment wrapText="1"/>
    </xf>
    <xf numFmtId="0" fontId="41" fillId="0" borderId="0" xfId="0" applyFont="1" applyFill="1" applyBorder="1" applyAlignment="1">
      <alignment wrapText="1"/>
    </xf>
    <xf numFmtId="0" fontId="41" fillId="0" borderId="0" xfId="0" applyFont="1" applyFill="1" applyBorder="1" applyAlignment="1">
      <alignment horizontal="left" wrapText="1"/>
    </xf>
    <xf numFmtId="0" fontId="32" fillId="0" borderId="0" xfId="988" applyFont="1" applyFill="1" applyBorder="1" applyAlignment="1">
      <alignment horizontal="right" wrapText="1"/>
    </xf>
    <xf numFmtId="0" fontId="12" fillId="0" borderId="0" xfId="0" applyFont="1" applyFill="1" applyBorder="1" applyAlignment="1">
      <alignment horizontal="right" wrapText="1"/>
    </xf>
    <xf numFmtId="0" fontId="26" fillId="0" borderId="0" xfId="988" applyFont="1" applyFill="1" applyBorder="1" applyAlignment="1">
      <alignment horizontal="right" vertical="top" wrapText="1"/>
    </xf>
    <xf numFmtId="0" fontId="0" fillId="0" borderId="0" xfId="0" applyFill="1" applyBorder="1" applyAlignment="1">
      <alignment horizontal="right" vertical="center" wrapText="1"/>
    </xf>
    <xf numFmtId="0" fontId="25" fillId="0" borderId="0" xfId="0" applyFont="1" applyFill="1" applyAlignment="1">
      <alignment horizontal="center" vertical="center" readingOrder="2"/>
    </xf>
    <xf numFmtId="0" fontId="36" fillId="0" borderId="0" xfId="988" applyFont="1" applyFill="1" applyBorder="1" applyAlignment="1">
      <alignment horizontal="right" vertical="center" wrapText="1" readingOrder="2"/>
    </xf>
    <xf numFmtId="0" fontId="11" fillId="0" borderId="0" xfId="3" applyFont="1" applyFill="1" applyAlignment="1">
      <alignment horizontal="left"/>
    </xf>
    <xf numFmtId="0" fontId="0" fillId="0" borderId="0" xfId="0" applyFont="1" applyFill="1" applyBorder="1" applyAlignment="1">
      <alignment horizontal="right" vertical="top" wrapText="1"/>
    </xf>
    <xf numFmtId="0" fontId="8" fillId="0" borderId="0" xfId="349" applyFont="1" applyFill="1" applyAlignment="1"/>
    <xf numFmtId="0" fontId="41" fillId="0" borderId="0" xfId="0" applyFont="1" applyFill="1" applyAlignment="1">
      <alignment horizontal="left" vertical="center" wrapText="1"/>
    </xf>
    <xf numFmtId="0" fontId="45" fillId="2" borderId="0" xfId="0" applyFont="1" applyFill="1" applyAlignment="1">
      <alignment horizontal="right"/>
    </xf>
    <xf numFmtId="0" fontId="31" fillId="0" borderId="0" xfId="988" applyFont="1" applyFill="1" applyBorder="1" applyAlignment="1">
      <alignment horizontal="right" vertical="center" wrapText="1"/>
    </xf>
    <xf numFmtId="0" fontId="12" fillId="2" borderId="0" xfId="0" applyFont="1" applyFill="1" applyAlignment="1">
      <alignment horizontal="right" wrapText="1"/>
    </xf>
    <xf numFmtId="0" fontId="24" fillId="0" borderId="0" xfId="0" applyFont="1" applyFill="1" applyAlignment="1">
      <alignment horizontal="right"/>
    </xf>
    <xf numFmtId="0" fontId="4" fillId="0" borderId="0" xfId="0" applyFont="1" applyFill="1" applyAlignment="1"/>
    <xf numFmtId="0" fontId="12" fillId="0" borderId="0" xfId="0" applyFont="1" applyFill="1" applyBorder="1" applyAlignment="1">
      <alignment horizontal="right" vertical="top" wrapText="1" readingOrder="1"/>
    </xf>
    <xf numFmtId="0" fontId="7" fillId="0" borderId="0" xfId="0" applyFont="1" applyFill="1" applyAlignment="1"/>
    <xf numFmtId="0" fontId="17" fillId="0" borderId="0" xfId="0" applyFont="1" applyFill="1" applyAlignment="1">
      <alignment wrapText="1"/>
    </xf>
    <xf numFmtId="0" fontId="21" fillId="0" borderId="0" xfId="0" applyFont="1" applyFill="1" applyAlignment="1">
      <alignment horizontal="left" vertical="center" wrapText="1"/>
    </xf>
    <xf numFmtId="0" fontId="26" fillId="0" borderId="0" xfId="1227" applyFont="1" applyBorder="1" applyAlignment="1">
      <alignment horizontal="left" wrapText="1"/>
    </xf>
    <xf numFmtId="0" fontId="26" fillId="0" borderId="0" xfId="1227" applyFont="1" applyFill="1" applyBorder="1" applyAlignment="1">
      <alignment horizontal="left" wrapText="1"/>
    </xf>
    <xf numFmtId="0" fontId="36" fillId="0" borderId="0" xfId="349" applyFont="1" applyFill="1" applyBorder="1" applyAlignment="1" applyProtection="1">
      <alignment horizontal="left" wrapText="1"/>
    </xf>
    <xf numFmtId="0" fontId="43" fillId="0" borderId="0" xfId="0" applyFont="1" applyFill="1" applyAlignment="1">
      <alignment horizontal="left" vertical="center" wrapText="1"/>
    </xf>
    <xf numFmtId="0" fontId="44" fillId="0" borderId="0" xfId="0" applyFont="1" applyFill="1" applyAlignment="1">
      <alignment horizontal="left" wrapText="1"/>
    </xf>
    <xf numFmtId="0" fontId="43" fillId="0" borderId="0" xfId="0" applyFont="1" applyFill="1" applyBorder="1" applyAlignment="1">
      <alignment wrapText="1"/>
    </xf>
    <xf numFmtId="0" fontId="8" fillId="0" borderId="0" xfId="0" applyFont="1" applyFill="1" applyAlignment="1">
      <alignment horizontal="left" vertical="top" wrapText="1"/>
    </xf>
    <xf numFmtId="0" fontId="19" fillId="0" borderId="0" xfId="0" applyFont="1" applyFill="1" applyAlignment="1">
      <alignment wrapText="1"/>
    </xf>
    <xf numFmtId="0" fontId="6" fillId="0" borderId="0" xfId="0" applyFont="1" applyFill="1" applyAlignment="1">
      <alignment horizontal="right" wrapText="1"/>
    </xf>
    <xf numFmtId="0" fontId="17" fillId="0" borderId="0" xfId="0" applyFont="1" applyFill="1" applyAlignment="1">
      <alignment horizontal="right" wrapText="1"/>
    </xf>
    <xf numFmtId="0" fontId="4" fillId="0" borderId="0" xfId="0" applyFont="1" applyFill="1" applyAlignment="1">
      <alignment horizontal="right" wrapText="1"/>
    </xf>
    <xf numFmtId="0" fontId="12" fillId="0" borderId="0" xfId="988" applyFont="1" applyFill="1" applyAlignment="1">
      <alignment horizontal="right" wrapText="1" readingOrder="2"/>
    </xf>
    <xf numFmtId="0" fontId="7" fillId="0" borderId="0" xfId="988" applyFont="1" applyFill="1" applyBorder="1" applyAlignment="1">
      <alignment horizontal="right" wrapText="1" readingOrder="2"/>
    </xf>
    <xf numFmtId="0" fontId="5" fillId="0" borderId="0" xfId="0" applyFont="1" applyFill="1" applyBorder="1" applyAlignment="1">
      <alignment horizontal="right" wrapText="1"/>
    </xf>
    <xf numFmtId="0" fontId="5" fillId="0" borderId="0" xfId="0"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right"/>
    </xf>
    <xf numFmtId="0" fontId="0" fillId="2" borderId="0" xfId="0" applyFill="1" applyBorder="1" applyAlignment="1">
      <alignment vertical="center" wrapText="1"/>
    </xf>
    <xf numFmtId="0" fontId="0" fillId="2" borderId="0" xfId="0" applyFill="1" applyAlignment="1">
      <alignment wrapText="1"/>
    </xf>
    <xf numFmtId="0" fontId="0" fillId="2" borderId="0" xfId="0" applyFont="1" applyFill="1" applyAlignment="1">
      <alignment horizontal="left" vertical="center" wrapText="1"/>
    </xf>
    <xf numFmtId="0" fontId="0" fillId="2" borderId="0" xfId="0" applyFill="1" applyAlignment="1">
      <alignment vertical="center" wrapText="1"/>
    </xf>
    <xf numFmtId="0" fontId="0" fillId="2" borderId="0" xfId="0" applyFill="1" applyAlignment="1">
      <alignment horizontal="right" wrapText="1"/>
    </xf>
    <xf numFmtId="0" fontId="0" fillId="2" borderId="0" xfId="0" applyFill="1" applyBorder="1" applyAlignment="1">
      <alignment wrapText="1"/>
    </xf>
    <xf numFmtId="0" fontId="0" fillId="2" borderId="0" xfId="0" applyFill="1" applyAlignment="1">
      <alignment horizontal="left" wrapText="1"/>
    </xf>
    <xf numFmtId="0" fontId="0" fillId="2" borderId="0" xfId="0" applyFill="1"/>
    <xf numFmtId="0" fontId="11" fillId="2" borderId="0" xfId="0" applyFont="1" applyFill="1"/>
    <xf numFmtId="49" fontId="0" fillId="0" borderId="0" xfId="0" applyNumberFormat="1" applyFill="1" applyAlignment="1">
      <alignment wrapText="1"/>
    </xf>
    <xf numFmtId="0" fontId="0" fillId="0" borderId="0" xfId="0" applyFill="1" applyAlignment="1">
      <alignment horizontal="left" wrapText="1" indent="1"/>
    </xf>
    <xf numFmtId="0" fontId="46" fillId="0" borderId="0" xfId="0" applyFont="1" applyFill="1" applyAlignment="1">
      <alignment wrapText="1"/>
    </xf>
    <xf numFmtId="0" fontId="46" fillId="0" borderId="0" xfId="0" applyFont="1" applyFill="1" applyAlignment="1">
      <alignment horizontal="right" vertical="center" wrapText="1" readingOrder="2"/>
    </xf>
    <xf numFmtId="0" fontId="46" fillId="0" borderId="0" xfId="0" applyFont="1" applyFill="1" applyAlignment="1">
      <alignment horizontal="right" vertical="center" readingOrder="2"/>
    </xf>
    <xf numFmtId="0" fontId="8" fillId="0" borderId="0" xfId="0" applyFont="1" applyFill="1" applyAlignment="1">
      <alignment horizontal="left" vertical="top"/>
    </xf>
    <xf numFmtId="0" fontId="2" fillId="0" borderId="0" xfId="0" applyFont="1" applyFill="1" applyAlignment="1">
      <alignment horizontal="left"/>
    </xf>
    <xf numFmtId="0" fontId="3" fillId="0" borderId="0" xfId="1366" applyFont="1" applyFill="1" applyAlignment="1">
      <alignment wrapText="1"/>
    </xf>
    <xf numFmtId="0" fontId="41" fillId="0" borderId="0" xfId="0" applyFont="1" applyFill="1" applyBorder="1" applyAlignment="1">
      <alignment horizontal="right" vertical="top"/>
    </xf>
    <xf numFmtId="0" fontId="8" fillId="0" borderId="0" xfId="0" applyFont="1" applyFill="1" applyAlignment="1">
      <alignment vertical="top"/>
    </xf>
    <xf numFmtId="0" fontId="4" fillId="0" borderId="0" xfId="1366" applyFont="1" applyAlignment="1"/>
    <xf numFmtId="49" fontId="0" fillId="0" borderId="0" xfId="0" applyNumberFormat="1" applyFill="1" applyBorder="1" applyAlignment="1">
      <alignment wrapText="1"/>
    </xf>
    <xf numFmtId="0" fontId="4" fillId="0" borderId="0" xfId="0" applyFont="1" applyFill="1" applyBorder="1" applyAlignment="1">
      <alignment horizontal="left" wrapText="1"/>
    </xf>
    <xf numFmtId="0" fontId="0" fillId="0" borderId="0" xfId="0" applyFont="1" applyBorder="1" applyAlignment="1">
      <alignment horizontal="left" wrapText="1"/>
    </xf>
    <xf numFmtId="0" fontId="23" fillId="0" borderId="0" xfId="2484" applyFont="1" applyFill="1" applyAlignment="1">
      <alignment horizontal="right" wrapText="1"/>
    </xf>
    <xf numFmtId="0" fontId="2" fillId="0" borderId="0" xfId="2484" applyFill="1" applyAlignment="1">
      <alignment wrapText="1"/>
    </xf>
    <xf numFmtId="0" fontId="2" fillId="0" borderId="0" xfId="2484" applyFont="1" applyFill="1" applyAlignment="1">
      <alignment wrapText="1"/>
    </xf>
    <xf numFmtId="0" fontId="2" fillId="0" borderId="0" xfId="2484" applyFont="1" applyFill="1" applyAlignment="1">
      <alignment vertical="center"/>
    </xf>
    <xf numFmtId="0" fontId="3" fillId="0" borderId="0" xfId="2484" applyFont="1" applyFill="1" applyBorder="1" applyAlignment="1">
      <alignment horizontal="left" vertical="top"/>
    </xf>
    <xf numFmtId="0" fontId="2" fillId="0" borderId="0" xfId="2484" applyFont="1" applyFill="1" applyAlignment="1"/>
    <xf numFmtId="0" fontId="2" fillId="0" borderId="0" xfId="2484" applyFill="1" applyAlignment="1">
      <alignment horizontal="right"/>
    </xf>
    <xf numFmtId="0" fontId="2" fillId="0" borderId="0" xfId="2484" applyFill="1"/>
    <xf numFmtId="0" fontId="8" fillId="0" borderId="0" xfId="2484" applyFont="1" applyFill="1" applyAlignment="1"/>
    <xf numFmtId="0" fontId="2" fillId="2" borderId="0" xfId="1366" applyFont="1" applyFill="1"/>
    <xf numFmtId="0" fontId="3" fillId="2" borderId="0" xfId="1366" applyFont="1" applyFill="1"/>
    <xf numFmtId="0" fontId="2" fillId="2" borderId="0" xfId="0" applyFont="1" applyFill="1" applyBorder="1" applyAlignment="1">
      <alignment horizontal="right" readingOrder="2"/>
    </xf>
    <xf numFmtId="0" fontId="2" fillId="2" borderId="0" xfId="0" applyFont="1" applyFill="1" applyAlignment="1">
      <alignment vertical="top"/>
    </xf>
    <xf numFmtId="0" fontId="2" fillId="2" borderId="0" xfId="0" applyFont="1" applyFill="1" applyAlignment="1">
      <alignment horizontal="right"/>
    </xf>
    <xf numFmtId="0" fontId="2" fillId="2" borderId="0" xfId="0" applyFont="1" applyFill="1" applyAlignment="1">
      <alignment horizontal="left"/>
    </xf>
    <xf numFmtId="0" fontId="0" fillId="2" borderId="0" xfId="0" applyFont="1" applyFill="1"/>
    <xf numFmtId="0" fontId="20" fillId="2" borderId="0" xfId="0" applyFont="1" applyFill="1"/>
    <xf numFmtId="0" fontId="2" fillId="2" borderId="0" xfId="0" applyFont="1" applyFill="1" applyAlignment="1"/>
    <xf numFmtId="0" fontId="8" fillId="0" borderId="0" xfId="2484" applyFont="1" applyFill="1" applyAlignment="1">
      <alignment wrapText="1"/>
    </xf>
    <xf numFmtId="49" fontId="2" fillId="0" borderId="0" xfId="1366" quotePrefix="1" applyNumberFormat="1" applyFill="1" applyAlignment="1">
      <alignment wrapText="1"/>
    </xf>
    <xf numFmtId="49" fontId="2" fillId="0" borderId="0" xfId="1366" applyNumberFormat="1" applyFill="1" applyAlignment="1">
      <alignment wrapText="1"/>
    </xf>
    <xf numFmtId="49" fontId="0" fillId="0" borderId="0" xfId="0" quotePrefix="1" applyNumberFormat="1" applyFill="1" applyAlignment="1">
      <alignment wrapText="1"/>
    </xf>
    <xf numFmtId="0" fontId="0" fillId="0" borderId="0" xfId="0" quotePrefix="1" applyAlignment="1"/>
    <xf numFmtId="0" fontId="0" fillId="2" borderId="0" xfId="0" applyFill="1" applyBorder="1" applyAlignment="1">
      <alignment horizontal="left"/>
    </xf>
    <xf numFmtId="0" fontId="0" fillId="2" borderId="0" xfId="0" applyFont="1" applyFill="1" applyBorder="1" applyAlignment="1">
      <alignment horizontal="right"/>
    </xf>
    <xf numFmtId="0" fontId="21" fillId="0" borderId="0" xfId="0" applyFont="1" applyFill="1" applyAlignment="1">
      <alignment horizontal="left" wrapText="1"/>
    </xf>
    <xf numFmtId="0" fontId="2" fillId="2" borderId="0" xfId="0" applyFont="1" applyFill="1" applyBorder="1" applyAlignment="1">
      <alignment horizontal="left"/>
    </xf>
    <xf numFmtId="0" fontId="0" fillId="0" borderId="0" xfId="0" applyFill="1"/>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applyAlignment="1">
      <alignment horizontal="right" wrapText="1"/>
    </xf>
    <xf numFmtId="0" fontId="0" fillId="0" borderId="0" xfId="0" applyFont="1" applyFill="1" applyBorder="1" applyAlignment="1">
      <alignment horizontal="right" wrapText="1"/>
    </xf>
    <xf numFmtId="0" fontId="8" fillId="0" borderId="0" xfId="0" applyFont="1" applyFill="1" applyAlignment="1">
      <alignment horizontal="right" wrapText="1"/>
    </xf>
    <xf numFmtId="0" fontId="0" fillId="0" borderId="0" xfId="0" applyFont="1" applyFill="1" applyAlignment="1">
      <alignment horizontal="left" wrapText="1"/>
    </xf>
    <xf numFmtId="0" fontId="22" fillId="0" borderId="0" xfId="0" applyFont="1" applyFill="1" applyAlignment="1">
      <alignment horizontal="left" wrapText="1"/>
    </xf>
    <xf numFmtId="0" fontId="22" fillId="0" borderId="0" xfId="0" applyFont="1" applyFill="1" applyAlignment="1">
      <alignment horizontal="right" wrapText="1"/>
    </xf>
    <xf numFmtId="0" fontId="23" fillId="0" borderId="0" xfId="0" applyFont="1" applyFill="1" applyAlignment="1">
      <alignment horizontal="right" wrapText="1"/>
    </xf>
    <xf numFmtId="0" fontId="24" fillId="0" borderId="0" xfId="0" applyFont="1" applyFill="1" applyAlignment="1">
      <alignment horizontal="right" wrapText="1"/>
    </xf>
    <xf numFmtId="0" fontId="21" fillId="0" borderId="0" xfId="0" applyFont="1" applyFill="1" applyAlignment="1">
      <alignment horizontal="right" wrapText="1"/>
    </xf>
    <xf numFmtId="0" fontId="12" fillId="0" borderId="0" xfId="0" applyFont="1" applyFill="1" applyBorder="1" applyAlignment="1">
      <alignment horizontal="right" wrapText="1"/>
    </xf>
    <xf numFmtId="0" fontId="4" fillId="0" borderId="0" xfId="0" applyFont="1" applyFill="1" applyAlignment="1"/>
    <xf numFmtId="0" fontId="2" fillId="0" borderId="0" xfId="2484" applyFont="1" applyFill="1" applyAlignment="1">
      <alignment wrapText="1"/>
    </xf>
    <xf numFmtId="0" fontId="2" fillId="0" borderId="0" xfId="2484" applyFont="1" applyFill="1" applyAlignment="1">
      <alignment vertical="center"/>
    </xf>
    <xf numFmtId="49" fontId="2" fillId="0" borderId="0" xfId="2484" applyNumberFormat="1" applyFont="1" applyFill="1" applyAlignment="1">
      <alignment vertical="center" wrapText="1"/>
    </xf>
    <xf numFmtId="49" fontId="2" fillId="0" borderId="0" xfId="2484" applyNumberFormat="1" applyFont="1" applyFill="1" applyAlignment="1">
      <alignment wrapText="1"/>
    </xf>
    <xf numFmtId="0" fontId="3" fillId="0" borderId="0" xfId="1366" applyFont="1" applyAlignment="1">
      <alignment horizontal="left"/>
    </xf>
    <xf numFmtId="0" fontId="29" fillId="0" borderId="0" xfId="1366" applyFont="1" applyFill="1" applyAlignment="1">
      <alignment horizontal="left"/>
    </xf>
    <xf numFmtId="0" fontId="8" fillId="0" borderId="0" xfId="1366" applyFont="1" applyFill="1" applyAlignment="1">
      <alignment horizontal="left"/>
    </xf>
    <xf numFmtId="0" fontId="37" fillId="0" borderId="0" xfId="1821" applyFont="1" applyFill="1" applyAlignment="1">
      <alignment horizontal="left"/>
    </xf>
    <xf numFmtId="0" fontId="37" fillId="0" borderId="0" xfId="1821" applyFont="1" applyFill="1" applyBorder="1" applyAlignment="1">
      <alignment horizontal="left"/>
    </xf>
    <xf numFmtId="0" fontId="8" fillId="0" borderId="0" xfId="1821" applyFont="1" applyFill="1" applyAlignment="1">
      <alignment horizontal="left"/>
    </xf>
    <xf numFmtId="0" fontId="8" fillId="0" borderId="0" xfId="1821" applyFont="1" applyFill="1" applyBorder="1" applyAlignment="1">
      <alignment horizontal="left"/>
    </xf>
    <xf numFmtId="0" fontId="8" fillId="0" borderId="0" xfId="0" applyFont="1" applyFill="1" applyAlignment="1">
      <alignment horizontal="left" indent="4"/>
    </xf>
    <xf numFmtId="0" fontId="8" fillId="0" borderId="0" xfId="0" applyFont="1" applyFill="1" applyAlignment="1">
      <alignment horizontal="left" wrapText="1" indent="1"/>
    </xf>
    <xf numFmtId="0" fontId="38" fillId="0" borderId="0" xfId="0" applyFont="1" applyAlignment="1"/>
    <xf numFmtId="0" fontId="48" fillId="0" borderId="0" xfId="0" applyFont="1" applyAlignment="1">
      <alignment horizontal="left" vertical="center" wrapText="1"/>
    </xf>
    <xf numFmtId="0" fontId="0" fillId="0" borderId="0" xfId="0" applyFont="1" applyFill="1" applyAlignment="1">
      <alignment horizontal="left" indent="5"/>
    </xf>
    <xf numFmtId="0" fontId="8" fillId="0" borderId="0" xfId="0" applyFont="1" applyAlignment="1">
      <alignment horizontal="left"/>
    </xf>
    <xf numFmtId="0" fontId="0" fillId="2" borderId="0" xfId="0" applyFont="1" applyFill="1" applyBorder="1"/>
    <xf numFmtId="0" fontId="0" fillId="2" borderId="0" xfId="0" applyFont="1" applyFill="1" applyBorder="1" applyAlignment="1">
      <alignment wrapText="1"/>
    </xf>
    <xf numFmtId="0" fontId="40" fillId="2" borderId="0" xfId="1227" applyFont="1" applyFill="1" applyBorder="1" applyAlignment="1">
      <alignment horizontal="left" wrapText="1"/>
    </xf>
    <xf numFmtId="0" fontId="0" fillId="2" borderId="0" xfId="0" applyFont="1" applyFill="1" applyBorder="1" applyAlignment="1">
      <alignment horizontal="right" wrapText="1"/>
    </xf>
    <xf numFmtId="0" fontId="0" fillId="2" borderId="0" xfId="0" applyFont="1" applyFill="1" applyBorder="1" applyAlignment="1">
      <alignment horizontal="left" wrapText="1"/>
    </xf>
    <xf numFmtId="0" fontId="0" fillId="2" borderId="0" xfId="0" applyFont="1" applyFill="1" applyBorder="1" applyAlignment="1"/>
    <xf numFmtId="0" fontId="0" fillId="2" borderId="0" xfId="0" applyFill="1" applyBorder="1"/>
    <xf numFmtId="0" fontId="8" fillId="2" borderId="0" xfId="0" applyFont="1" applyFill="1" applyBorder="1"/>
    <xf numFmtId="0" fontId="0" fillId="0" borderId="0" xfId="0" applyFill="1" applyAlignment="1">
      <alignment horizontal="right" readingOrder="2"/>
    </xf>
    <xf numFmtId="0" fontId="21" fillId="0" borderId="0" xfId="0" applyFont="1" applyFill="1" applyAlignment="1">
      <alignment horizontal="right" readingOrder="2"/>
    </xf>
    <xf numFmtId="0" fontId="0" fillId="0" borderId="0" xfId="0" applyFill="1" applyAlignment="1">
      <alignment horizontal="right" wrapText="1" readingOrder="2"/>
    </xf>
    <xf numFmtId="0" fontId="21" fillId="0" borderId="0" xfId="0" applyFont="1" applyFill="1" applyAlignment="1">
      <alignment horizontal="right" wrapText="1" readingOrder="2"/>
    </xf>
    <xf numFmtId="0" fontId="0" fillId="0" borderId="0" xfId="0" applyFont="1" applyFill="1" applyAlignment="1">
      <alignment horizontal="right" readingOrder="2"/>
    </xf>
    <xf numFmtId="0" fontId="0" fillId="0" borderId="0" xfId="0" applyFill="1" applyBorder="1" applyAlignment="1">
      <alignment horizontal="right" wrapText="1"/>
    </xf>
    <xf numFmtId="0" fontId="21" fillId="0" borderId="0" xfId="0" applyFont="1" applyFill="1" applyAlignment="1">
      <alignment wrapText="1"/>
    </xf>
    <xf numFmtId="0" fontId="21" fillId="0" borderId="0" xfId="0" applyFont="1" applyFill="1" applyAlignment="1">
      <alignment horizontal="right" vertical="center" wrapText="1" readingOrder="2"/>
    </xf>
    <xf numFmtId="0" fontId="37" fillId="0" borderId="0" xfId="0" applyFont="1" applyFill="1" applyAlignment="1">
      <alignment horizontal="right" wrapText="1"/>
    </xf>
    <xf numFmtId="0" fontId="23" fillId="0" borderId="0" xfId="1366" applyFont="1" applyFill="1" applyAlignment="1">
      <alignment horizontal="right" vertical="center" wrapText="1"/>
    </xf>
    <xf numFmtId="0" fontId="24" fillId="0" borderId="0" xfId="2484" applyFont="1" applyFill="1" applyAlignment="1">
      <alignment horizontal="right" wrapText="1"/>
    </xf>
    <xf numFmtId="0" fontId="26" fillId="0" borderId="0" xfId="988" applyFont="1" applyFill="1" applyBorder="1" applyAlignment="1">
      <alignment horizontal="right" vertical="center" wrapText="1" readingOrder="2"/>
    </xf>
    <xf numFmtId="0" fontId="21" fillId="0" borderId="0" xfId="0" applyFont="1" applyFill="1" applyBorder="1" applyAlignment="1"/>
    <xf numFmtId="0" fontId="29" fillId="0" borderId="0" xfId="0" applyFont="1"/>
    <xf numFmtId="0" fontId="29" fillId="0" borderId="0" xfId="0" applyFont="1" applyAlignment="1">
      <alignment wrapText="1"/>
    </xf>
    <xf numFmtId="0" fontId="29" fillId="0" borderId="0" xfId="0" applyFont="1" applyAlignment="1">
      <alignment horizontal="right" wrapText="1"/>
    </xf>
    <xf numFmtId="0" fontId="12" fillId="4" borderId="0" xfId="0" applyFont="1" applyFill="1"/>
    <xf numFmtId="0" fontId="12" fillId="4" borderId="0" xfId="0" applyFont="1" applyFill="1" applyAlignment="1">
      <alignment wrapText="1"/>
    </xf>
    <xf numFmtId="0" fontId="6" fillId="4" borderId="0" xfId="0" applyFont="1" applyFill="1" applyAlignment="1">
      <alignment vertical="top" wrapText="1"/>
    </xf>
    <xf numFmtId="0" fontId="12" fillId="4" borderId="0" xfId="0" applyFont="1" applyFill="1" applyAlignment="1"/>
    <xf numFmtId="0" fontId="12" fillId="4" borderId="0" xfId="0" applyFont="1" applyFill="1" applyAlignment="1">
      <alignment horizontal="left" indent="1"/>
    </xf>
    <xf numFmtId="0" fontId="12" fillId="4" borderId="0" xfId="0" applyFont="1" applyFill="1" applyAlignment="1">
      <alignment horizontal="right" wrapText="1"/>
    </xf>
    <xf numFmtId="0" fontId="0" fillId="0" borderId="0" xfId="0" applyFont="1" applyFill="1" applyAlignment="1">
      <alignment wrapText="1" readingOrder="2"/>
    </xf>
    <xf numFmtId="0" fontId="49" fillId="0" borderId="0" xfId="0" applyFont="1" applyFill="1"/>
    <xf numFmtId="0" fontId="21" fillId="0" borderId="0" xfId="0" applyFont="1" applyFill="1" applyAlignment="1"/>
    <xf numFmtId="0" fontId="50" fillId="0" borderId="0" xfId="0" applyFont="1" applyAlignment="1">
      <alignment horizontal="left" vertical="center"/>
    </xf>
    <xf numFmtId="0" fontId="8" fillId="2" borderId="0" xfId="0" applyFont="1" applyFill="1" applyAlignment="1">
      <alignment horizontal="right"/>
    </xf>
    <xf numFmtId="0" fontId="0" fillId="2" borderId="0" xfId="0" applyFill="1" applyAlignment="1">
      <alignment vertical="center"/>
    </xf>
    <xf numFmtId="0" fontId="0" fillId="2" borderId="0" xfId="0" applyFill="1" applyAlignment="1">
      <alignment horizontal="right" vertical="center"/>
    </xf>
    <xf numFmtId="0" fontId="0" fillId="5" borderId="0" xfId="0" applyFill="1"/>
  </cellXfs>
  <cellStyles count="3763">
    <cellStyle name="Explanatory Text 2" xfId="3"/>
    <cellStyle name="Followed Hyperlink" xfId="2" builtinId="9" hidden="1"/>
    <cellStyle name="Followed Hyperlink" xfId="5" builtinId="9" hidden="1"/>
    <cellStyle name="Followed Hyperlink" xfId="7"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Hyperlink" xfId="1" builtinId="8" hidden="1"/>
    <cellStyle name="Hyperlink" xfId="4" builtinId="8" hidden="1"/>
    <cellStyle name="Hyperlink" xfId="6"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Normal" xfId="0" builtinId="0"/>
    <cellStyle name="Normal 12" xfId="8"/>
    <cellStyle name="Normal 2" xfId="1366"/>
    <cellStyle name="Normal 3" xfId="349"/>
    <cellStyle name="Normal 3 2" xfId="1227"/>
    <cellStyle name="Normal 4" xfId="2484"/>
    <cellStyle name="Normal 6" xfId="1821"/>
    <cellStyle name="Normal_Final 10_30_03" xfId="988"/>
  </cellStyles>
  <dxfs count="0"/>
  <tableStyles count="0" defaultTableStyle="TableStyleMedium2" defaultPivotStyle="PivotStyleLight16"/>
  <colors>
    <mruColors>
      <color rgb="FF00FFFF"/>
      <color rgb="FFF67AB8"/>
      <color rgb="FFF529DD"/>
      <color rgb="FF2507DB"/>
      <color rgb="FF660066"/>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pane ySplit="1" topLeftCell="A2" activePane="bottomLeft" state="frozen"/>
      <selection pane="bottomLeft" activeCell="B4" sqref="B4"/>
    </sheetView>
  </sheetViews>
  <sheetFormatPr defaultColWidth="8.85546875" defaultRowHeight="15"/>
  <cols>
    <col min="1" max="1" width="24" style="12" bestFit="1" customWidth="1"/>
    <col min="2" max="2" width="20.140625" customWidth="1"/>
    <col min="3" max="3" width="34.42578125" customWidth="1"/>
    <col min="4" max="4" width="28.42578125" bestFit="1" customWidth="1"/>
    <col min="5" max="5" width="17.42578125" customWidth="1"/>
    <col min="6" max="6" width="18" customWidth="1"/>
  </cols>
  <sheetData>
    <row r="1" spans="1:6" s="7" customFormat="1">
      <c r="A1" s="20" t="s">
        <v>9</v>
      </c>
      <c r="B1" s="11" t="s">
        <v>10</v>
      </c>
      <c r="C1" s="7" t="s">
        <v>1280</v>
      </c>
      <c r="D1" s="7" t="s">
        <v>1281</v>
      </c>
      <c r="E1" s="373" t="s">
        <v>1284</v>
      </c>
      <c r="F1" s="373" t="s">
        <v>1285</v>
      </c>
    </row>
    <row r="2" spans="1:6">
      <c r="A2" s="13" t="s">
        <v>11</v>
      </c>
      <c r="B2" t="s">
        <v>141</v>
      </c>
      <c r="C2" s="2"/>
    </row>
    <row r="3" spans="1:6">
      <c r="A3" s="13" t="s">
        <v>12</v>
      </c>
      <c r="B3" s="4" t="s">
        <v>1596</v>
      </c>
      <c r="C3" s="30"/>
      <c r="D3" s="9"/>
      <c r="E3" s="9"/>
    </row>
    <row r="4" spans="1:6">
      <c r="A4" s="12" t="s">
        <v>13</v>
      </c>
      <c r="B4" s="2" t="s">
        <v>141</v>
      </c>
      <c r="C4" s="30"/>
      <c r="D4" s="9"/>
      <c r="E4" s="9"/>
    </row>
    <row r="5" spans="1:6">
      <c r="A5" s="12" t="s">
        <v>345</v>
      </c>
      <c r="B5" s="2"/>
      <c r="C5" s="30"/>
      <c r="D5" s="9"/>
      <c r="E5" s="9" t="s">
        <v>272</v>
      </c>
      <c r="F5" t="s">
        <v>49</v>
      </c>
    </row>
    <row r="6" spans="1:6">
      <c r="A6" s="12" t="s">
        <v>48</v>
      </c>
      <c r="B6" s="30"/>
      <c r="C6" s="30"/>
      <c r="D6" s="30"/>
      <c r="E6" s="9" t="s">
        <v>961</v>
      </c>
      <c r="F6" s="9" t="s">
        <v>50</v>
      </c>
    </row>
    <row r="7" spans="1:6">
      <c r="A7" s="14" t="s">
        <v>14</v>
      </c>
      <c r="B7" s="30"/>
      <c r="C7" s="443" t="s">
        <v>1370</v>
      </c>
      <c r="D7" s="9" t="s">
        <v>1309</v>
      </c>
      <c r="E7" s="9"/>
      <c r="F7" s="9"/>
    </row>
    <row r="8" spans="1:6">
      <c r="A8" s="14" t="s">
        <v>346</v>
      </c>
      <c r="B8" s="30"/>
      <c r="C8" s="444" t="s">
        <v>1372</v>
      </c>
      <c r="D8" s="9" t="s">
        <v>1298</v>
      </c>
      <c r="E8" s="9"/>
      <c r="F8" s="9"/>
    </row>
    <row r="9" spans="1:6">
      <c r="A9" s="14" t="s">
        <v>205</v>
      </c>
      <c r="B9" s="30"/>
      <c r="C9" s="443" t="s">
        <v>1373</v>
      </c>
      <c r="D9" s="9" t="s">
        <v>1301</v>
      </c>
      <c r="E9" s="9"/>
      <c r="F9" s="9"/>
    </row>
    <row r="10" spans="1:6">
      <c r="A10" s="12" t="s">
        <v>142</v>
      </c>
      <c r="B10" s="30"/>
      <c r="C10" s="445" t="s">
        <v>1502</v>
      </c>
      <c r="D10" s="30" t="s">
        <v>1302</v>
      </c>
      <c r="E10" s="9"/>
      <c r="F10" s="9"/>
    </row>
    <row r="11" spans="1:6">
      <c r="A11" s="12" t="s">
        <v>143</v>
      </c>
      <c r="B11" s="30"/>
      <c r="C11" s="446" t="s">
        <v>1374</v>
      </c>
      <c r="D11" s="30" t="s">
        <v>1303</v>
      </c>
      <c r="E11" s="9"/>
      <c r="F11" s="9"/>
    </row>
    <row r="12" spans="1:6">
      <c r="A12" s="12" t="s">
        <v>794</v>
      </c>
      <c r="B12" s="2"/>
      <c r="C12" s="445" t="s">
        <v>1375</v>
      </c>
      <c r="D12" s="30" t="s">
        <v>1305</v>
      </c>
      <c r="E12" s="9"/>
    </row>
    <row r="13" spans="1:6" s="14" customFormat="1">
      <c r="A13" s="64" t="s">
        <v>273</v>
      </c>
      <c r="B13" s="19"/>
      <c r="C13" s="447" t="s">
        <v>1371</v>
      </c>
      <c r="D13" s="19" t="s">
        <v>274</v>
      </c>
    </row>
    <row r="14" spans="1:6">
      <c r="A14" s="1" t="s">
        <v>280</v>
      </c>
      <c r="B14" s="19"/>
      <c r="C14" s="406" t="s">
        <v>957</v>
      </c>
      <c r="D14" s="19" t="s">
        <v>281</v>
      </c>
      <c r="E14" s="9"/>
    </row>
    <row r="15" spans="1:6">
      <c r="A15" s="1" t="s">
        <v>282</v>
      </c>
      <c r="B15" s="19"/>
      <c r="C15" s="40" t="s">
        <v>958</v>
      </c>
      <c r="D15" s="19" t="s">
        <v>515</v>
      </c>
      <c r="E15" s="9"/>
    </row>
    <row r="16" spans="1:6">
      <c r="A16" s="1" t="s">
        <v>283</v>
      </c>
      <c r="B16" s="19"/>
      <c r="C16" s="177" t="s">
        <v>959</v>
      </c>
      <c r="D16" s="19" t="s">
        <v>284</v>
      </c>
      <c r="E16" s="9"/>
    </row>
    <row r="17" spans="1:5">
      <c r="A17" s="1" t="s">
        <v>875</v>
      </c>
      <c r="B17" s="14"/>
      <c r="C17" s="40" t="s">
        <v>1220</v>
      </c>
      <c r="D17" s="1" t="s">
        <v>874</v>
      </c>
      <c r="E17" s="9"/>
    </row>
    <row r="18" spans="1:5" s="12" customFormat="1">
      <c r="A18" s="14" t="s">
        <v>285</v>
      </c>
      <c r="B18" s="19"/>
      <c r="C18" s="243" t="s">
        <v>641</v>
      </c>
      <c r="D18" s="326" t="s">
        <v>640</v>
      </c>
      <c r="E18" s="18"/>
    </row>
    <row r="19" spans="1:5">
      <c r="A19" s="12" t="s">
        <v>479</v>
      </c>
      <c r="B19" s="19"/>
      <c r="C19" s="203" t="s">
        <v>747</v>
      </c>
      <c r="D19" s="19" t="s">
        <v>481</v>
      </c>
      <c r="E19" s="9"/>
    </row>
    <row r="20" spans="1:5" s="14" customFormat="1">
      <c r="A20" s="1" t="s">
        <v>597</v>
      </c>
      <c r="B20" s="19"/>
      <c r="C20" s="243" t="s">
        <v>1556</v>
      </c>
      <c r="D20" s="19" t="s">
        <v>598</v>
      </c>
    </row>
    <row r="21" spans="1:5" s="14" customFormat="1">
      <c r="A21" s="1" t="s">
        <v>599</v>
      </c>
      <c r="B21" s="19"/>
      <c r="C21" s="248" t="s">
        <v>762</v>
      </c>
      <c r="D21" s="19" t="s">
        <v>600</v>
      </c>
    </row>
    <row r="22" spans="1:5" s="14" customFormat="1">
      <c r="A22" s="1" t="s">
        <v>601</v>
      </c>
      <c r="B22" s="19"/>
      <c r="C22" s="245" t="s">
        <v>772</v>
      </c>
      <c r="D22" s="19" t="s">
        <v>602</v>
      </c>
    </row>
    <row r="23" spans="1:5" s="14" customFormat="1">
      <c r="A23" s="1" t="s">
        <v>595</v>
      </c>
      <c r="B23" s="19"/>
      <c r="C23" s="245" t="s">
        <v>960</v>
      </c>
      <c r="D23" s="19" t="s">
        <v>596</v>
      </c>
    </row>
    <row r="24" spans="1:5">
      <c r="A24" s="12" t="s">
        <v>186</v>
      </c>
      <c r="B24" s="30" t="s">
        <v>352</v>
      </c>
      <c r="C24" s="30"/>
      <c r="D24" s="9"/>
      <c r="E24" s="9"/>
    </row>
    <row r="25" spans="1:5" ht="15.75">
      <c r="A25" s="32" t="s">
        <v>254</v>
      </c>
      <c r="B25" s="324" t="b">
        <v>1</v>
      </c>
      <c r="C25" s="30"/>
      <c r="D25" s="9"/>
      <c r="E25" s="9"/>
    </row>
    <row r="26" spans="1:5">
      <c r="B26" s="9"/>
      <c r="C26" s="9"/>
      <c r="D26" s="9"/>
    </row>
    <row r="27" spans="1:5">
      <c r="B27" s="9"/>
      <c r="C27" s="9"/>
      <c r="D27" s="9"/>
    </row>
    <row r="28" spans="1:5">
      <c r="B28" s="9"/>
      <c r="C28" s="9"/>
      <c r="D28" s="9"/>
    </row>
    <row r="29" spans="1:5">
      <c r="B29" s="9"/>
      <c r="C29" s="9"/>
      <c r="D29" s="9"/>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6"/>
  <sheetViews>
    <sheetView topLeftCell="I1" workbookViewId="0">
      <pane ySplit="2" topLeftCell="A11" activePane="bottomLeft" state="frozen"/>
      <selection activeCell="C6" sqref="C6:C7"/>
      <selection pane="bottomLeft" activeCell="L15" sqref="L15:M15"/>
    </sheetView>
  </sheetViews>
  <sheetFormatPr defaultColWidth="11.42578125" defaultRowHeight="15"/>
  <cols>
    <col min="1" max="1" width="10.42578125" style="12" bestFit="1" customWidth="1"/>
    <col min="2" max="3" width="15.7109375" style="2" customWidth="1"/>
    <col min="4" max="4" width="15.7109375" style="12" customWidth="1"/>
    <col min="5" max="6" width="15.7109375" style="155" customWidth="1"/>
    <col min="7" max="8" width="15.7109375" style="12" customWidth="1"/>
    <col min="9" max="10" width="12.28515625" style="12" bestFit="1" customWidth="1"/>
    <col min="11" max="11" width="40.7109375" style="12" customWidth="1"/>
    <col min="12" max="12" width="23.140625" style="12" bestFit="1" customWidth="1"/>
    <col min="13" max="14" width="12.42578125" style="12" customWidth="1"/>
    <col min="15" max="16" width="12.42578125" style="2" customWidth="1"/>
    <col min="17" max="17" width="12.42578125" style="41" customWidth="1"/>
    <col min="18" max="18" width="12.42578125" style="2" customWidth="1"/>
    <col min="19" max="19" width="12.42578125" style="12" customWidth="1"/>
    <col min="20" max="22" width="12.42578125" style="2" customWidth="1"/>
    <col min="23" max="24" width="12.42578125" style="12" customWidth="1"/>
    <col min="25" max="25" width="15.42578125" style="12" customWidth="1"/>
    <col min="26" max="26" width="17.42578125" style="12" customWidth="1"/>
    <col min="27" max="27" width="16" style="12" customWidth="1"/>
    <col min="28" max="16384" width="11.42578125" style="12"/>
  </cols>
  <sheetData>
    <row r="1" spans="1:27" s="332" customFormat="1" ht="30">
      <c r="A1" s="332" t="s">
        <v>5</v>
      </c>
      <c r="B1" s="332" t="s">
        <v>5</v>
      </c>
      <c r="C1" s="332" t="s">
        <v>5</v>
      </c>
      <c r="D1" s="332" t="s">
        <v>5</v>
      </c>
      <c r="E1" s="332" t="s">
        <v>5</v>
      </c>
      <c r="F1" s="332" t="s">
        <v>5</v>
      </c>
      <c r="G1" s="332" t="s">
        <v>5</v>
      </c>
      <c r="H1" s="332" t="s">
        <v>5</v>
      </c>
      <c r="I1" s="332" t="s">
        <v>5</v>
      </c>
      <c r="J1" s="334" t="s">
        <v>0</v>
      </c>
      <c r="K1" s="334" t="s">
        <v>1</v>
      </c>
      <c r="L1" s="332" t="s">
        <v>2</v>
      </c>
      <c r="M1" s="332" t="s">
        <v>3</v>
      </c>
      <c r="N1" s="332" t="s">
        <v>4</v>
      </c>
      <c r="O1" s="332" t="s">
        <v>1282</v>
      </c>
      <c r="P1" s="332" t="s">
        <v>1283</v>
      </c>
      <c r="Q1" s="62" t="s">
        <v>1286</v>
      </c>
      <c r="R1" s="62" t="s">
        <v>1287</v>
      </c>
      <c r="S1" s="332" t="s">
        <v>7</v>
      </c>
      <c r="T1" s="332" t="s">
        <v>47</v>
      </c>
      <c r="U1" s="332" t="s">
        <v>148</v>
      </c>
      <c r="V1" s="332" t="s">
        <v>25</v>
      </c>
      <c r="W1" s="52" t="s">
        <v>1288</v>
      </c>
      <c r="X1" s="52" t="s">
        <v>1289</v>
      </c>
      <c r="Y1" s="332" t="s">
        <v>6</v>
      </c>
      <c r="Z1" s="160" t="s">
        <v>374</v>
      </c>
      <c r="AA1" s="160" t="s">
        <v>375</v>
      </c>
    </row>
    <row r="2" spans="1:27" s="7" customFormat="1" ht="45">
      <c r="A2" s="102" t="s">
        <v>353</v>
      </c>
      <c r="B2" s="103" t="s">
        <v>354</v>
      </c>
      <c r="C2" s="102" t="s">
        <v>1187</v>
      </c>
      <c r="D2" s="103" t="s">
        <v>358</v>
      </c>
      <c r="E2" s="95" t="s">
        <v>355</v>
      </c>
      <c r="F2" s="102" t="s">
        <v>1186</v>
      </c>
      <c r="G2" s="79" t="s">
        <v>357</v>
      </c>
      <c r="H2" s="74" t="s">
        <v>356</v>
      </c>
      <c r="I2" s="74" t="s">
        <v>426</v>
      </c>
      <c r="O2" s="60"/>
      <c r="P2" s="60"/>
      <c r="Q2" s="144"/>
      <c r="R2" s="6"/>
      <c r="W2" s="62"/>
      <c r="X2" s="62"/>
      <c r="Z2" s="6"/>
      <c r="AA2" s="6"/>
    </row>
    <row r="3" spans="1:27" s="7" customFormat="1">
      <c r="A3" s="104" t="s">
        <v>364</v>
      </c>
      <c r="B3" s="104" t="s">
        <v>365</v>
      </c>
      <c r="C3" s="104" t="s">
        <v>364</v>
      </c>
      <c r="D3" s="104" t="s">
        <v>364</v>
      </c>
      <c r="E3" s="104" t="s">
        <v>365</v>
      </c>
      <c r="F3" s="104" t="s">
        <v>364</v>
      </c>
      <c r="G3" s="104" t="s">
        <v>364</v>
      </c>
      <c r="H3" s="105" t="s">
        <v>364</v>
      </c>
      <c r="I3" s="105" t="s">
        <v>364</v>
      </c>
      <c r="O3" s="60"/>
      <c r="P3" s="60"/>
      <c r="Q3" s="144"/>
      <c r="R3" s="6"/>
      <c r="T3" s="6"/>
      <c r="U3" s="6"/>
      <c r="V3" s="6"/>
      <c r="W3" s="62"/>
      <c r="X3" s="62"/>
      <c r="Z3" s="6"/>
      <c r="AA3" s="6"/>
    </row>
    <row r="4" spans="1:27" s="7" customFormat="1">
      <c r="A4" s="104"/>
      <c r="B4" s="104"/>
      <c r="C4" s="104"/>
      <c r="D4" s="104"/>
      <c r="E4" s="104"/>
      <c r="F4" s="104"/>
      <c r="G4" s="104"/>
      <c r="H4" s="105"/>
      <c r="I4" s="105"/>
      <c r="J4" s="14" t="s">
        <v>20</v>
      </c>
      <c r="O4" s="60"/>
      <c r="P4" s="60"/>
      <c r="Q4" s="144"/>
      <c r="R4" s="6"/>
      <c r="T4" s="6"/>
      <c r="U4" s="6"/>
      <c r="V4" s="6"/>
      <c r="W4" s="62"/>
      <c r="X4" s="62"/>
      <c r="Z4" s="6"/>
      <c r="AA4" s="6"/>
    </row>
    <row r="5" spans="1:27" s="14" customFormat="1" ht="45">
      <c r="A5" s="48"/>
      <c r="B5" s="48"/>
      <c r="C5" s="48" t="s">
        <v>1503</v>
      </c>
      <c r="D5" s="48"/>
      <c r="E5" s="445" t="s">
        <v>1502</v>
      </c>
      <c r="F5" s="48"/>
      <c r="G5" s="48"/>
      <c r="H5" s="93"/>
      <c r="I5" s="93"/>
      <c r="L5" s="14" t="s">
        <v>22</v>
      </c>
      <c r="O5" s="376" t="str">
        <f>E5</f>
        <v>0.3 بيانات الأفراد</v>
      </c>
      <c r="P5" s="376" t="str">
        <f>C5</f>
        <v>0.3 Individual data</v>
      </c>
      <c r="Q5" s="86"/>
      <c r="R5" s="28"/>
      <c r="T5" s="28"/>
      <c r="U5" s="28"/>
      <c r="V5" s="28"/>
      <c r="W5" s="63"/>
      <c r="X5" s="63"/>
      <c r="Z5" s="28"/>
      <c r="AA5" s="28"/>
    </row>
    <row r="6" spans="1:27" s="14" customFormat="1" ht="75">
      <c r="A6" s="31" t="str">
        <f>CONCATENATE("q",$I6)</f>
        <v>q300</v>
      </c>
      <c r="B6" s="31" t="s">
        <v>389</v>
      </c>
      <c r="C6" s="31"/>
      <c r="D6" s="31"/>
      <c r="E6" s="31" t="s">
        <v>1378</v>
      </c>
      <c r="F6" s="48" t="str">
        <f>CONCATENATE("Constraints: ", W6)</f>
        <v>Constraints: نحتاج إلى فرد واحد على الأقل</v>
      </c>
      <c r="G6" s="31"/>
      <c r="H6" s="31"/>
      <c r="I6" s="26">
        <v>300</v>
      </c>
      <c r="L6" s="14" t="s">
        <v>19</v>
      </c>
      <c r="N6" s="14" t="str">
        <f>CONCATENATE("q",$I6)</f>
        <v>q300</v>
      </c>
      <c r="O6" s="46" t="str">
        <f>CONCATENATE(I6,". ", E6)</f>
        <v xml:space="preserve">300. كم عدد أفراد الأسرة؟ </v>
      </c>
      <c r="P6" s="29" t="str">
        <f>CONCATENATE(I6, ". ",B6)</f>
        <v>300. How many individuals are in the household?</v>
      </c>
      <c r="Q6" s="86"/>
      <c r="R6" s="28"/>
      <c r="S6" s="28" t="str">
        <f>"data('valid_overall') == 1"</f>
        <v>data('valid_overall') == 1</v>
      </c>
      <c r="V6" s="28" t="str">
        <f>CONCATENATE("data('valid_overall') == 0 ||data('",N6,"')&gt;0")</f>
        <v>data('valid_overall') == 0 ||data('q300')&gt;0</v>
      </c>
      <c r="W6" s="19" t="s">
        <v>1379</v>
      </c>
      <c r="X6" s="14" t="s">
        <v>1516</v>
      </c>
      <c r="Z6" s="6"/>
      <c r="AA6" s="6"/>
    </row>
    <row r="7" spans="1:27" s="14" customFormat="1">
      <c r="A7" s="31"/>
      <c r="B7" s="31"/>
      <c r="C7" s="31"/>
      <c r="D7" s="31"/>
      <c r="E7" s="31"/>
      <c r="F7" s="48"/>
      <c r="G7" s="31"/>
      <c r="H7" s="31"/>
      <c r="I7" s="26"/>
      <c r="J7" s="14" t="s">
        <v>21</v>
      </c>
      <c r="O7" s="46"/>
      <c r="P7" s="29"/>
      <c r="Q7" s="86"/>
      <c r="R7" s="28"/>
      <c r="S7" s="28"/>
      <c r="V7" s="28"/>
      <c r="W7" s="19"/>
      <c r="Z7" s="6"/>
      <c r="AA7" s="6"/>
    </row>
    <row r="8" spans="1:27" s="14" customFormat="1">
      <c r="A8" s="31"/>
      <c r="B8" s="31"/>
      <c r="C8" s="31"/>
      <c r="D8" s="31"/>
      <c r="E8" s="40"/>
      <c r="F8" s="40"/>
      <c r="G8" s="31"/>
      <c r="H8" s="31"/>
      <c r="I8" s="31"/>
      <c r="J8" s="135" t="s">
        <v>23</v>
      </c>
      <c r="K8" s="14" t="str">
        <f>CONCATENATE("data('",'1_0_statistical_identification'!N7,"')===""no",CHAR(34))</f>
        <v>data('q10')==="no"</v>
      </c>
      <c r="O8" s="46"/>
      <c r="P8" s="29"/>
      <c r="Q8" s="86"/>
      <c r="R8" s="28"/>
      <c r="S8" s="28"/>
      <c r="V8" s="28"/>
      <c r="Z8" s="6"/>
      <c r="AA8" s="6"/>
    </row>
    <row r="9" spans="1:27" s="14" customFormat="1">
      <c r="A9" s="31"/>
      <c r="B9" s="31"/>
      <c r="C9" s="31"/>
      <c r="D9" s="31"/>
      <c r="E9" s="40"/>
      <c r="F9" s="40"/>
      <c r="G9" s="31"/>
      <c r="H9" s="31"/>
      <c r="I9" s="31"/>
      <c r="J9" s="14" t="s">
        <v>20</v>
      </c>
      <c r="O9" s="46"/>
      <c r="P9" s="29"/>
      <c r="Q9" s="86"/>
      <c r="R9" s="28"/>
      <c r="S9" s="28"/>
      <c r="V9" s="28"/>
      <c r="Z9" s="6"/>
      <c r="AA9" s="6"/>
    </row>
    <row r="10" spans="1:27" s="14" customFormat="1" ht="210">
      <c r="A10" s="31"/>
      <c r="B10" s="28" t="str">
        <f>CONCATENATE("There were {{data.", '2_0_tracking_splits'!$N$18,"}} members from 2012 remaining. The number of members in 2018: {{data.",N6,"}} must be equal to or greater than this number.")</f>
        <v>There were {{data.zcheck_roster_still}} members from 2012 remaining. The number of members in 2018: {{data.q300}} must be equal to or greater than this number.</v>
      </c>
      <c r="C10" s="28"/>
      <c r="E10" s="31" t="str">
        <f>CONCATENATE("عدد الأفراد المتبقيين من عام 2012:  {{data.", '2_0_tracking_splits'!$N$18,"}} . عدد الأفراد فى عام 2018: {{data.",N6,"}} يجب أن يكون أكبر من أو يساوى هذا العدد.")</f>
        <v>عدد الأفراد المتبقيين من عام 2012:  {{data.zcheck_roster_still}} . عدد الأفراد فى عام 2018: {{data.q300}} يجب أن يكون أكبر من أو يساوى هذا العدد.</v>
      </c>
      <c r="F10" s="31"/>
      <c r="G10" s="31"/>
      <c r="H10" s="31"/>
      <c r="I10" s="31"/>
      <c r="L10" s="14" t="s">
        <v>22</v>
      </c>
      <c r="O10" s="28" t="str">
        <f>E10</f>
        <v>عدد الأفراد المتبقيين من عام 2012:  {{data.zcheck_roster_still}} . عدد الأفراد فى عام 2018: {{data.q300}} يجب أن يكون أكبر من أو يساوى هذا العدد.</v>
      </c>
      <c r="P10" s="28" t="str">
        <f>B10</f>
        <v>There were {{data.zcheck_roster_still}} members from 2012 remaining. The number of members in 2018: {{data.q300}} must be equal to or greater than this number.</v>
      </c>
      <c r="Q10" s="86"/>
      <c r="R10" s="28"/>
      <c r="S10" s="28"/>
      <c r="V10" s="28"/>
      <c r="W10" s="63"/>
      <c r="X10" s="63"/>
      <c r="Y10" s="31" t="b">
        <v>1</v>
      </c>
      <c r="Z10" s="6"/>
      <c r="AA10" s="6"/>
    </row>
    <row r="11" spans="1:27" s="14" customFormat="1">
      <c r="A11" s="31"/>
      <c r="B11" s="28"/>
      <c r="C11" s="28"/>
      <c r="E11" s="40"/>
      <c r="F11" s="40"/>
      <c r="G11" s="31"/>
      <c r="H11" s="31"/>
      <c r="I11" s="31"/>
      <c r="J11" s="14" t="s">
        <v>21</v>
      </c>
      <c r="O11" s="28"/>
      <c r="P11" s="28"/>
      <c r="Q11" s="86"/>
      <c r="R11" s="28"/>
      <c r="S11" s="28"/>
      <c r="V11" s="28"/>
      <c r="W11" s="63"/>
      <c r="X11" s="63"/>
      <c r="Z11" s="6"/>
      <c r="AA11" s="6"/>
    </row>
    <row r="12" spans="1:27" s="14" customFormat="1">
      <c r="A12" s="31"/>
      <c r="B12" s="63"/>
      <c r="C12" s="63"/>
      <c r="E12" s="53"/>
      <c r="F12" s="53"/>
      <c r="G12" s="31"/>
      <c r="H12" s="31"/>
      <c r="I12" s="31"/>
      <c r="J12" s="135" t="s">
        <v>24</v>
      </c>
      <c r="O12" s="28"/>
      <c r="P12" s="28"/>
      <c r="Q12" s="86"/>
      <c r="R12" s="28"/>
      <c r="S12" s="28"/>
      <c r="V12" s="28"/>
      <c r="W12" s="63"/>
      <c r="X12" s="63"/>
      <c r="Z12" s="6"/>
      <c r="AA12" s="6"/>
    </row>
    <row r="13" spans="1:27" s="14" customFormat="1">
      <c r="A13" s="31"/>
      <c r="B13" s="63"/>
      <c r="C13" s="63"/>
      <c r="E13" s="53"/>
      <c r="F13" s="53"/>
      <c r="G13" s="31"/>
      <c r="H13" s="31"/>
      <c r="I13" s="31"/>
      <c r="J13" s="135" t="s">
        <v>23</v>
      </c>
      <c r="K13" s="14" t="str">
        <f>CONCATENATE("data('",'1_0_statistical_identification'!N7,"')===""no",CHAR(34), " &amp;&amp; data('", N6,"')&lt;data('",'2_0_tracking_splits'!N18,"')")</f>
        <v>data('q10')==="no" &amp;&amp; data('q300')&lt;data('zcheck_roster_still')</v>
      </c>
      <c r="O13" s="28"/>
      <c r="P13" s="28"/>
      <c r="Q13" s="86"/>
      <c r="R13" s="28"/>
      <c r="S13" s="28"/>
      <c r="V13" s="28"/>
      <c r="W13" s="63"/>
      <c r="X13" s="63"/>
      <c r="Z13" s="6"/>
      <c r="AA13" s="6"/>
    </row>
    <row r="14" spans="1:27" s="14" customFormat="1">
      <c r="A14" s="31"/>
      <c r="B14" s="63"/>
      <c r="C14" s="63"/>
      <c r="E14" s="53"/>
      <c r="F14" s="53"/>
      <c r="G14" s="31"/>
      <c r="H14" s="31"/>
      <c r="I14" s="31"/>
      <c r="J14" s="43" t="s">
        <v>20</v>
      </c>
      <c r="O14" s="28"/>
      <c r="P14" s="28"/>
      <c r="Q14" s="86"/>
      <c r="R14" s="28"/>
      <c r="S14" s="28"/>
      <c r="V14" s="28"/>
      <c r="W14" s="63"/>
      <c r="X14" s="63"/>
      <c r="Z14" s="6"/>
      <c r="AA14" s="6"/>
    </row>
    <row r="15" spans="1:27" s="14" customFormat="1" ht="195">
      <c r="A15" s="31"/>
      <c r="B15" s="63" t="str">
        <f>CONCATENATE("There were {{data.", '2_0_tracking_splits'!$N$18,"}} members from 2012 remaining. The number of members in 2018 must be equal to or greater than this number.")</f>
        <v>There were {{data.zcheck_roster_still}} members from 2012 remaining. The number of members in 2018 must be equal to or greater than this number.</v>
      </c>
      <c r="C15" s="48" t="str">
        <f>CONCATENATE("Constraints: ", X15)</f>
        <v>Constraints: There were {{data.zcheck_roster_still}} members from 2012 remaining. The number of members in 2018 must be equal to or greater than this number.</v>
      </c>
      <c r="E15" s="63" t="str">
        <f>CONCATENATE("عدد الأفراد المتبقيين من عام 2012:{{data.", '2_0_tracking_splits'!$N$18,"}}  عدد الأفراد فى عام 2018 يجب أن يكون أكبر من أو يساوى هذا العدد.")</f>
        <v>عدد الأفراد المتبقيين من عام 2012:{{data.zcheck_roster_still}}  عدد الأفراد فى عام 2018 يجب أن يكون أكبر من أو يساوى هذا العدد.</v>
      </c>
      <c r="F15" s="48" t="str">
        <f>CONCATENATE("Constraints: ", W15)</f>
        <v>Constraints: عدد الأفراد المتبقيين من عام 2012:{{data.zcheck_roster_still}}  عدد الأفراد فى عام 2018 يجب أن يكون أكبر من أو يساوى هذا العدد.</v>
      </c>
      <c r="G15" s="31"/>
      <c r="H15" s="31"/>
      <c r="I15" s="31"/>
      <c r="L15" s="434" t="s">
        <v>18</v>
      </c>
      <c r="M15" s="71" t="s">
        <v>1594</v>
      </c>
      <c r="N15" s="14" t="s">
        <v>391</v>
      </c>
      <c r="O15" s="28" t="str">
        <f>E15</f>
        <v>عدد الأفراد المتبقيين من عام 2012:{{data.zcheck_roster_still}}  عدد الأفراد فى عام 2018 يجب أن يكون أكبر من أو يساوى هذا العدد.</v>
      </c>
      <c r="P15" s="28" t="str">
        <f>B15</f>
        <v>There were {{data.zcheck_roster_still}} members from 2012 remaining. The number of members in 2018 must be equal to or greater than this number.</v>
      </c>
      <c r="Q15" s="86"/>
      <c r="R15" s="28"/>
      <c r="S15" s="28" t="str">
        <f>CONCATENATE("data('valid_overall') == 1 &amp;&amp; ", K13)</f>
        <v>data('valid_overall') == 1 &amp;&amp; data('q10')==="no" &amp;&amp; data('q300')&lt;data('zcheck_roster_still')</v>
      </c>
      <c r="V15" s="28" t="str">
        <f>CONCATENATE("data('valid_overall') == 0 || (data('", N6,"')&gt;=data('",'2_0_tracking_splits'!N18,"')) || data('q10' ) == ", CHAR(34),"yes",CHAR(34))</f>
        <v>data('valid_overall') == 0 || (data('q300')&gt;=data('zcheck_roster_still')) || data('q10' ) == "yes"</v>
      </c>
      <c r="W15" s="63" t="str">
        <f>E15</f>
        <v>عدد الأفراد المتبقيين من عام 2012:{{data.zcheck_roster_still}}  عدد الأفراد فى عام 2018 يجب أن يكون أكبر من أو يساوى هذا العدد.</v>
      </c>
      <c r="X15" s="63" t="str">
        <f>B15</f>
        <v>There were {{data.zcheck_roster_still}} members from 2012 remaining. The number of members in 2018 must be equal to or greater than this number.</v>
      </c>
      <c r="Y15" s="31" t="b">
        <v>1</v>
      </c>
      <c r="Z15" s="6"/>
      <c r="AA15" s="6"/>
    </row>
    <row r="16" spans="1:27" s="14" customFormat="1">
      <c r="A16" s="31"/>
      <c r="B16" s="63"/>
      <c r="C16" s="63"/>
      <c r="E16" s="53"/>
      <c r="F16" s="53"/>
      <c r="G16" s="31"/>
      <c r="H16" s="31"/>
      <c r="I16" s="31"/>
      <c r="J16" s="14" t="s">
        <v>21</v>
      </c>
      <c r="L16" s="30"/>
      <c r="O16" s="46"/>
      <c r="P16" s="29"/>
      <c r="Q16" s="86"/>
      <c r="R16" s="28"/>
      <c r="S16" s="28"/>
      <c r="V16" s="28"/>
      <c r="W16" s="63"/>
      <c r="X16" s="63"/>
      <c r="Z16" s="6"/>
      <c r="AA16" s="6"/>
    </row>
    <row r="17" spans="1:29" s="14" customFormat="1">
      <c r="A17" s="31"/>
      <c r="B17" s="31"/>
      <c r="C17" s="31"/>
      <c r="D17" s="31"/>
      <c r="E17" s="40"/>
      <c r="F17" s="40"/>
      <c r="G17" s="31"/>
      <c r="H17" s="31"/>
      <c r="I17" s="31"/>
      <c r="J17" s="135" t="s">
        <v>24</v>
      </c>
      <c r="O17" s="46"/>
      <c r="P17" s="29"/>
      <c r="Q17" s="86"/>
      <c r="R17" s="28"/>
      <c r="S17" s="28"/>
      <c r="V17" s="28"/>
      <c r="W17" s="63"/>
      <c r="X17" s="63"/>
      <c r="Z17" s="6"/>
      <c r="AA17" s="6"/>
    </row>
    <row r="18" spans="1:29" s="64" customFormat="1" ht="409.5">
      <c r="B18" s="110" t="s">
        <v>1381</v>
      </c>
      <c r="C18" s="48" t="str">
        <f>CONCATENATE("Hints: ", R18,)</f>
        <v>Hints: Please enter the names of individuals in the family listed in the following order: head of household; spouse of head of household; unmarried children (starting from the oldest); Married children and their family members; other relatives; other non-relative individuals</v>
      </c>
      <c r="E18" s="448" t="s">
        <v>1380</v>
      </c>
      <c r="F18" s="48" t="str">
        <f>CONCATENATE("Hints: ", Q18)</f>
        <v>Hints: يرجى إدخال اسماء أفراد الأسرة بالترتيب التالي: رئيس الأسرة؛ زوج رئيس الأسرة؛ الأبناء غير المتزوجين (بدءاً من الأكبر سناً)؛ الأبناء المتزوجون وأفراد أسرهم؛ أقارب آخرين؛ أفراد آخرين من غير الأقارب</v>
      </c>
      <c r="G18" s="76"/>
      <c r="H18" s="76" t="str">
        <f>CONCATENATE("Go to ",queries!E3)</f>
        <v>Go to quest1_03_0</v>
      </c>
      <c r="I18" s="76"/>
      <c r="L18" s="64" t="s">
        <v>60</v>
      </c>
      <c r="M18" s="18" t="s">
        <v>206</v>
      </c>
      <c r="O18" s="76" t="str">
        <f>E18</f>
        <v>إدخال بيانات كل أعضاء الأسرة فى 2018</v>
      </c>
      <c r="P18" s="110" t="str">
        <f>B18</f>
        <v>Enter data for all family members in 2018</v>
      </c>
      <c r="Q18" s="70" t="s">
        <v>1382</v>
      </c>
      <c r="R18" s="31" t="s">
        <v>1383</v>
      </c>
      <c r="S18" s="28"/>
      <c r="V18" s="31"/>
      <c r="Y18" s="31" t="b">
        <v>1</v>
      </c>
      <c r="Z18" s="106"/>
      <c r="AA18" s="106"/>
      <c r="AB18" s="31"/>
      <c r="AC18" s="31"/>
    </row>
    <row r="19" spans="1:29" s="64" customFormat="1">
      <c r="B19" s="31"/>
      <c r="C19" s="31"/>
      <c r="E19" s="40"/>
      <c r="F19" s="40"/>
      <c r="J19" s="64" t="s">
        <v>20</v>
      </c>
      <c r="M19" s="18"/>
      <c r="O19" s="76"/>
      <c r="P19" s="110"/>
      <c r="Q19" s="48"/>
      <c r="R19" s="31"/>
      <c r="S19" s="31"/>
      <c r="V19" s="31"/>
      <c r="Y19" s="31"/>
      <c r="Z19" s="99"/>
      <c r="AA19" s="99"/>
      <c r="AB19" s="31"/>
      <c r="AC19" s="31"/>
    </row>
    <row r="20" spans="1:29" s="64" customFormat="1" ht="30">
      <c r="B20" s="31"/>
      <c r="C20" s="31"/>
      <c r="E20" s="40"/>
      <c r="F20" s="40"/>
      <c r="L20" s="63" t="s">
        <v>376</v>
      </c>
      <c r="M20" s="30" t="s">
        <v>388</v>
      </c>
      <c r="N20" s="30" t="s">
        <v>387</v>
      </c>
      <c r="O20" s="30"/>
      <c r="P20" s="30"/>
      <c r="Q20" s="48"/>
      <c r="R20" s="31"/>
      <c r="S20" s="31"/>
      <c r="V20" s="31"/>
      <c r="Y20" s="31" t="b">
        <v>1</v>
      </c>
      <c r="AB20" s="31"/>
      <c r="AC20" s="31"/>
    </row>
    <row r="21" spans="1:29" s="30" customFormat="1" ht="135">
      <c r="B21" s="30" t="str">
        <f>CONCATENATE("There were {{data.",$N$6,"}} individuals in 2018 and you have completed {{data.",$N$20,"}} individuals")</f>
        <v>There were {{data.q300}} individuals in 2018 and you have completed {{data.zcheck_roster_2018}} individuals</v>
      </c>
      <c r="E21" s="30" t="str">
        <f>CONCATENATE("بلغ عدد الأفراد في عام 2018 : {{data.",$N$6,"}} وتم استيفاء بيانات  {{data.",$N$20,"}} أفراد")</f>
        <v>بلغ عدد الأفراد في عام 2018 : {{data.q300}} وتم استيفاء بيانات  {{data.zcheck_roster_2018}} أفراد</v>
      </c>
      <c r="J21" s="2"/>
      <c r="L21" s="30" t="s">
        <v>22</v>
      </c>
      <c r="M21" s="2"/>
      <c r="O21" s="30" t="str">
        <f>E21</f>
        <v>بلغ عدد الأفراد في عام 2018 : {{data.q300}} وتم استيفاء بيانات  {{data.zcheck_roster_2018}} أفراد</v>
      </c>
      <c r="P21" s="30" t="str">
        <f>B21</f>
        <v>There were {{data.q300}} individuals in 2018 and you have completed {{data.zcheck_roster_2018}} individuals</v>
      </c>
      <c r="Q21" s="70"/>
      <c r="S21" s="99"/>
      <c r="Y21" s="31" t="b">
        <v>1</v>
      </c>
    </row>
    <row r="22" spans="1:29" s="30" customFormat="1" ht="150">
      <c r="C22" s="48" t="str">
        <f>CONCATENATE("Constraints: ", X22)</f>
        <v>Constraints: There were {{data.q300}} individuals in 2018 and you have completed {{data.zcheck_roster_2018}} individuals</v>
      </c>
      <c r="D22" s="14"/>
      <c r="E22" s="63"/>
      <c r="F22" s="48" t="str">
        <f>CONCATENATE("Constraints: ", W22)</f>
        <v>Constraints: بلغ عدد الأفراد في عام 2018 : {{data.q300}} وتم استيفاء بيانات  {{data.zcheck_roster_2018}} أفراد</v>
      </c>
      <c r="J22" s="2"/>
      <c r="L22" s="434" t="s">
        <v>18</v>
      </c>
      <c r="M22" s="71" t="s">
        <v>1594</v>
      </c>
      <c r="N22" s="30" t="s">
        <v>402</v>
      </c>
      <c r="Q22" s="70"/>
      <c r="S22" s="99" t="s">
        <v>407</v>
      </c>
      <c r="V22" s="30" t="str">
        <f>CONCATENATE("data('valid_overall') == 0 ||", P273," (data('",N6,"') === data('",N20,"'))")</f>
        <v>data('valid_overall') == 0 || (data('q300') === data('zcheck_roster_2018'))</v>
      </c>
      <c r="W22" s="63" t="str">
        <f>O21</f>
        <v>بلغ عدد الأفراد في عام 2018 : {{data.q300}} وتم استيفاء بيانات  {{data.zcheck_roster_2018}} أفراد</v>
      </c>
      <c r="X22" s="30" t="str">
        <f>P21</f>
        <v>There were {{data.q300}} individuals in 2018 and you have completed {{data.zcheck_roster_2018}} individuals</v>
      </c>
      <c r="Y22" s="31" t="b">
        <v>1</v>
      </c>
    </row>
    <row r="23" spans="1:29" s="64" customFormat="1" ht="12.95" customHeight="1">
      <c r="B23" s="31"/>
      <c r="C23" s="31"/>
      <c r="E23" s="40"/>
      <c r="F23" s="40"/>
      <c r="M23" s="18"/>
      <c r="O23" s="76"/>
      <c r="P23" s="110"/>
      <c r="Q23" s="48"/>
      <c r="R23" s="31"/>
      <c r="S23" s="31"/>
      <c r="V23" s="31"/>
      <c r="Y23" s="31"/>
      <c r="AB23" s="31"/>
      <c r="AC23" s="31"/>
    </row>
    <row r="24" spans="1:29" s="64" customFormat="1" ht="12.95" customHeight="1">
      <c r="B24" s="31"/>
      <c r="C24" s="31"/>
      <c r="E24" s="40"/>
      <c r="F24" s="40"/>
      <c r="M24" s="18"/>
      <c r="O24" s="76"/>
      <c r="P24" s="110"/>
      <c r="Q24" s="48"/>
      <c r="R24" s="31"/>
      <c r="S24" s="31"/>
      <c r="V24" s="31"/>
      <c r="Y24" s="31"/>
      <c r="AB24" s="31"/>
      <c r="AC24" s="31"/>
    </row>
    <row r="25" spans="1:29" s="64" customFormat="1">
      <c r="B25" s="31"/>
      <c r="C25" s="31"/>
      <c r="E25" s="40"/>
      <c r="F25" s="40"/>
      <c r="I25" s="64">
        <v>1</v>
      </c>
      <c r="J25" s="88"/>
      <c r="L25" s="64" t="s">
        <v>376</v>
      </c>
      <c r="M25" s="18" t="str">
        <f>CONCATENATE("roster_2012_",I25)</f>
        <v>roster_2012_1</v>
      </c>
      <c r="N25" s="64" t="str">
        <f>CONCATENATE("zcheck_roster_2012_",I25)</f>
        <v>zcheck_roster_2012_1</v>
      </c>
      <c r="O25" s="76"/>
      <c r="P25" s="110"/>
      <c r="Q25" s="48"/>
      <c r="R25" s="31"/>
      <c r="S25" s="31"/>
      <c r="V25" s="31"/>
      <c r="Y25" s="31" t="b">
        <v>1</v>
      </c>
      <c r="AB25" s="31"/>
      <c r="AC25" s="31"/>
    </row>
    <row r="26" spans="1:29" s="64" customFormat="1">
      <c r="B26" s="31"/>
      <c r="C26" s="31"/>
      <c r="E26" s="40"/>
      <c r="F26" s="40"/>
      <c r="I26" s="64">
        <v>1</v>
      </c>
      <c r="J26" s="88"/>
      <c r="L26" s="64" t="s">
        <v>376</v>
      </c>
      <c r="M26" s="18" t="str">
        <f>CONCATENATE("roster_2018_",I26)</f>
        <v>roster_2018_1</v>
      </c>
      <c r="N26" s="64" t="str">
        <f>CONCATENATE("zcheck_roster_2018_",I25)</f>
        <v>zcheck_roster_2018_1</v>
      </c>
      <c r="O26" s="31"/>
      <c r="P26" s="31"/>
      <c r="Q26" s="48"/>
      <c r="R26" s="31"/>
      <c r="S26" s="31"/>
      <c r="V26" s="31"/>
      <c r="Y26" s="31" t="b">
        <v>1</v>
      </c>
      <c r="AB26" s="31"/>
      <c r="AC26" s="31"/>
    </row>
    <row r="27" spans="1:29" s="64" customFormat="1">
      <c r="B27" s="31"/>
      <c r="C27" s="31"/>
      <c r="E27" s="40"/>
      <c r="F27" s="40"/>
      <c r="I27" s="64">
        <f t="shared" ref="I27:I66" si="0">I25+1</f>
        <v>2</v>
      </c>
      <c r="J27" s="88"/>
      <c r="L27" s="64" t="s">
        <v>376</v>
      </c>
      <c r="M27" s="18" t="str">
        <f t="shared" ref="M27" si="1">CONCATENATE("roster_2012_",I27)</f>
        <v>roster_2012_2</v>
      </c>
      <c r="N27" s="64" t="str">
        <f t="shared" ref="N27" si="2">CONCATENATE("zcheck_roster_2012_",I27)</f>
        <v>zcheck_roster_2012_2</v>
      </c>
      <c r="O27" s="31"/>
      <c r="P27" s="31"/>
      <c r="Q27" s="48"/>
      <c r="R27" s="31"/>
      <c r="S27" s="31"/>
      <c r="V27" s="31"/>
      <c r="Y27" s="31" t="b">
        <v>1</v>
      </c>
      <c r="AB27" s="31"/>
      <c r="AC27" s="31"/>
    </row>
    <row r="28" spans="1:29" s="64" customFormat="1">
      <c r="B28" s="31"/>
      <c r="C28" s="31"/>
      <c r="E28" s="40"/>
      <c r="F28" s="40"/>
      <c r="I28" s="64">
        <f t="shared" si="0"/>
        <v>2</v>
      </c>
      <c r="J28" s="88"/>
      <c r="L28" s="64" t="s">
        <v>376</v>
      </c>
      <c r="M28" s="18" t="str">
        <f t="shared" ref="M28" si="3">CONCATENATE("roster_2018_",I28)</f>
        <v>roster_2018_2</v>
      </c>
      <c r="N28" s="64" t="str">
        <f t="shared" ref="N28" si="4">CONCATENATE("zcheck_roster_2018_",I27)</f>
        <v>zcheck_roster_2018_2</v>
      </c>
      <c r="O28" s="31"/>
      <c r="P28" s="31"/>
      <c r="Q28" s="48"/>
      <c r="R28" s="31"/>
      <c r="S28" s="31"/>
      <c r="V28" s="31"/>
      <c r="Y28" s="31" t="b">
        <v>1</v>
      </c>
      <c r="AB28" s="31"/>
      <c r="AC28" s="31"/>
    </row>
    <row r="29" spans="1:29" s="64" customFormat="1">
      <c r="B29" s="31"/>
      <c r="C29" s="31"/>
      <c r="E29" s="40"/>
      <c r="F29" s="40"/>
      <c r="I29" s="64">
        <f t="shared" si="0"/>
        <v>3</v>
      </c>
      <c r="J29" s="88"/>
      <c r="L29" s="64" t="s">
        <v>376</v>
      </c>
      <c r="M29" s="18" t="str">
        <f t="shared" ref="M29" si="5">CONCATENATE("roster_2012_",I29)</f>
        <v>roster_2012_3</v>
      </c>
      <c r="N29" s="64" t="str">
        <f t="shared" ref="N29" si="6">CONCATENATE("zcheck_roster_2012_",I29)</f>
        <v>zcheck_roster_2012_3</v>
      </c>
      <c r="O29" s="31"/>
      <c r="P29" s="31"/>
      <c r="Q29" s="48"/>
      <c r="R29" s="31"/>
      <c r="S29" s="31"/>
      <c r="V29" s="31"/>
      <c r="Y29" s="31" t="b">
        <v>1</v>
      </c>
      <c r="AB29" s="31"/>
      <c r="AC29" s="31"/>
    </row>
    <row r="30" spans="1:29" s="64" customFormat="1">
      <c r="B30" s="31"/>
      <c r="C30" s="31"/>
      <c r="E30" s="40"/>
      <c r="F30" s="40"/>
      <c r="I30" s="64">
        <f t="shared" si="0"/>
        <v>3</v>
      </c>
      <c r="J30" s="88"/>
      <c r="L30" s="64" t="s">
        <v>376</v>
      </c>
      <c r="M30" s="18" t="str">
        <f t="shared" ref="M30" si="7">CONCATENATE("roster_2018_",I30)</f>
        <v>roster_2018_3</v>
      </c>
      <c r="N30" s="64" t="str">
        <f t="shared" ref="N30" si="8">CONCATENATE("zcheck_roster_2018_",I29)</f>
        <v>zcheck_roster_2018_3</v>
      </c>
      <c r="O30" s="31"/>
      <c r="P30" s="31"/>
      <c r="Q30" s="48"/>
      <c r="R30" s="31"/>
      <c r="S30" s="31"/>
      <c r="V30" s="31"/>
      <c r="Y30" s="31" t="b">
        <v>1</v>
      </c>
      <c r="AB30" s="31"/>
      <c r="AC30" s="31"/>
    </row>
    <row r="31" spans="1:29" s="64" customFormat="1">
      <c r="B31" s="31"/>
      <c r="C31" s="31"/>
      <c r="E31" s="40"/>
      <c r="F31" s="40"/>
      <c r="I31" s="64">
        <f t="shared" si="0"/>
        <v>4</v>
      </c>
      <c r="J31" s="88"/>
      <c r="L31" s="64" t="s">
        <v>376</v>
      </c>
      <c r="M31" s="18" t="str">
        <f t="shared" ref="M31" si="9">CONCATENATE("roster_2012_",I31)</f>
        <v>roster_2012_4</v>
      </c>
      <c r="N31" s="64" t="str">
        <f t="shared" ref="N31" si="10">CONCATENATE("zcheck_roster_2012_",I31)</f>
        <v>zcheck_roster_2012_4</v>
      </c>
      <c r="O31" s="31"/>
      <c r="P31" s="31"/>
      <c r="Q31" s="48"/>
      <c r="R31" s="31"/>
      <c r="S31" s="31"/>
      <c r="V31" s="31"/>
      <c r="Y31" s="31" t="b">
        <v>1</v>
      </c>
      <c r="AB31" s="31"/>
      <c r="AC31" s="31"/>
    </row>
    <row r="32" spans="1:29" s="64" customFormat="1">
      <c r="B32" s="31"/>
      <c r="C32" s="31"/>
      <c r="E32" s="40"/>
      <c r="F32" s="40"/>
      <c r="I32" s="64">
        <f t="shared" si="0"/>
        <v>4</v>
      </c>
      <c r="J32" s="88"/>
      <c r="L32" s="64" t="s">
        <v>376</v>
      </c>
      <c r="M32" s="18" t="str">
        <f t="shared" ref="M32" si="11">CONCATENATE("roster_2018_",I32)</f>
        <v>roster_2018_4</v>
      </c>
      <c r="N32" s="64" t="str">
        <f t="shared" ref="N32" si="12">CONCATENATE("zcheck_roster_2018_",I31)</f>
        <v>zcheck_roster_2018_4</v>
      </c>
      <c r="O32" s="31"/>
      <c r="P32" s="31"/>
      <c r="Q32" s="48"/>
      <c r="R32" s="31"/>
      <c r="S32" s="31"/>
      <c r="V32" s="31"/>
      <c r="Y32" s="31" t="b">
        <v>1</v>
      </c>
      <c r="AB32" s="31"/>
      <c r="AC32" s="31"/>
    </row>
    <row r="33" spans="2:29" s="64" customFormat="1">
      <c r="B33" s="31"/>
      <c r="C33" s="31"/>
      <c r="E33" s="40"/>
      <c r="F33" s="40"/>
      <c r="I33" s="64">
        <f t="shared" si="0"/>
        <v>5</v>
      </c>
      <c r="J33" s="88"/>
      <c r="L33" s="64" t="s">
        <v>376</v>
      </c>
      <c r="M33" s="18" t="str">
        <f t="shared" ref="M33" si="13">CONCATENATE("roster_2012_",I33)</f>
        <v>roster_2012_5</v>
      </c>
      <c r="N33" s="64" t="str">
        <f t="shared" ref="N33" si="14">CONCATENATE("zcheck_roster_2012_",I33)</f>
        <v>zcheck_roster_2012_5</v>
      </c>
      <c r="O33" s="31"/>
      <c r="P33" s="31"/>
      <c r="Q33" s="48"/>
      <c r="R33" s="31"/>
      <c r="S33" s="31"/>
      <c r="V33" s="31"/>
      <c r="Y33" s="31" t="b">
        <v>1</v>
      </c>
      <c r="AB33" s="31"/>
      <c r="AC33" s="31"/>
    </row>
    <row r="34" spans="2:29" s="64" customFormat="1">
      <c r="B34" s="31"/>
      <c r="C34" s="31"/>
      <c r="E34" s="40"/>
      <c r="F34" s="40"/>
      <c r="I34" s="64">
        <f t="shared" si="0"/>
        <v>5</v>
      </c>
      <c r="J34" s="88"/>
      <c r="L34" s="64" t="s">
        <v>376</v>
      </c>
      <c r="M34" s="18" t="str">
        <f t="shared" ref="M34" si="15">CONCATENATE("roster_2018_",I34)</f>
        <v>roster_2018_5</v>
      </c>
      <c r="N34" s="64" t="str">
        <f t="shared" ref="N34" si="16">CONCATENATE("zcheck_roster_2018_",I33)</f>
        <v>zcheck_roster_2018_5</v>
      </c>
      <c r="O34" s="31"/>
      <c r="P34" s="31"/>
      <c r="Q34" s="48"/>
      <c r="R34" s="31"/>
      <c r="S34" s="31"/>
      <c r="V34" s="31"/>
      <c r="Y34" s="31" t="b">
        <v>1</v>
      </c>
      <c r="AB34" s="31"/>
      <c r="AC34" s="31"/>
    </row>
    <row r="35" spans="2:29" s="64" customFormat="1">
      <c r="B35" s="31"/>
      <c r="C35" s="31"/>
      <c r="E35" s="40"/>
      <c r="F35" s="40"/>
      <c r="I35" s="64">
        <f t="shared" si="0"/>
        <v>6</v>
      </c>
      <c r="J35" s="88"/>
      <c r="L35" s="64" t="s">
        <v>376</v>
      </c>
      <c r="M35" s="18" t="str">
        <f t="shared" ref="M35" si="17">CONCATENATE("roster_2012_",I35)</f>
        <v>roster_2012_6</v>
      </c>
      <c r="N35" s="64" t="str">
        <f t="shared" ref="N35" si="18">CONCATENATE("zcheck_roster_2012_",I35)</f>
        <v>zcheck_roster_2012_6</v>
      </c>
      <c r="O35" s="31"/>
      <c r="P35" s="31"/>
      <c r="Q35" s="48"/>
      <c r="R35" s="31"/>
      <c r="S35" s="31"/>
      <c r="V35" s="31"/>
      <c r="Y35" s="31" t="b">
        <v>1</v>
      </c>
      <c r="AB35" s="31"/>
      <c r="AC35" s="31"/>
    </row>
    <row r="36" spans="2:29" s="64" customFormat="1">
      <c r="B36" s="31"/>
      <c r="C36" s="31"/>
      <c r="E36" s="40"/>
      <c r="F36" s="40"/>
      <c r="I36" s="64">
        <f t="shared" si="0"/>
        <v>6</v>
      </c>
      <c r="J36" s="88"/>
      <c r="L36" s="64" t="s">
        <v>376</v>
      </c>
      <c r="M36" s="18" t="str">
        <f t="shared" ref="M36" si="19">CONCATENATE("roster_2018_",I36)</f>
        <v>roster_2018_6</v>
      </c>
      <c r="N36" s="64" t="str">
        <f t="shared" ref="N36" si="20">CONCATENATE("zcheck_roster_2018_",I35)</f>
        <v>zcheck_roster_2018_6</v>
      </c>
      <c r="O36" s="31"/>
      <c r="P36" s="31"/>
      <c r="Q36" s="48"/>
      <c r="R36" s="31"/>
      <c r="S36" s="31"/>
      <c r="V36" s="31"/>
      <c r="Y36" s="31" t="b">
        <v>1</v>
      </c>
      <c r="AB36" s="31"/>
      <c r="AC36" s="31"/>
    </row>
    <row r="37" spans="2:29" s="64" customFormat="1">
      <c r="B37" s="31"/>
      <c r="C37" s="31"/>
      <c r="E37" s="40"/>
      <c r="F37" s="40"/>
      <c r="I37" s="64">
        <f t="shared" si="0"/>
        <v>7</v>
      </c>
      <c r="J37" s="88"/>
      <c r="L37" s="64" t="s">
        <v>376</v>
      </c>
      <c r="M37" s="18" t="str">
        <f t="shared" ref="M37" si="21">CONCATENATE("roster_2012_",I37)</f>
        <v>roster_2012_7</v>
      </c>
      <c r="N37" s="64" t="str">
        <f t="shared" ref="N37" si="22">CONCATENATE("zcheck_roster_2012_",I37)</f>
        <v>zcheck_roster_2012_7</v>
      </c>
      <c r="O37" s="31"/>
      <c r="P37" s="31"/>
      <c r="Q37" s="48"/>
      <c r="R37" s="31"/>
      <c r="S37" s="31"/>
      <c r="V37" s="31"/>
      <c r="Y37" s="31" t="b">
        <v>1</v>
      </c>
      <c r="AB37" s="31"/>
      <c r="AC37" s="31"/>
    </row>
    <row r="38" spans="2:29" s="64" customFormat="1">
      <c r="B38" s="31"/>
      <c r="C38" s="31"/>
      <c r="E38" s="40"/>
      <c r="F38" s="40"/>
      <c r="I38" s="64">
        <f t="shared" si="0"/>
        <v>7</v>
      </c>
      <c r="J38" s="88"/>
      <c r="L38" s="64" t="s">
        <v>376</v>
      </c>
      <c r="M38" s="18" t="str">
        <f t="shared" ref="M38" si="23">CONCATENATE("roster_2018_",I38)</f>
        <v>roster_2018_7</v>
      </c>
      <c r="N38" s="64" t="str">
        <f t="shared" ref="N38" si="24">CONCATENATE("zcheck_roster_2018_",I37)</f>
        <v>zcheck_roster_2018_7</v>
      </c>
      <c r="O38" s="31"/>
      <c r="P38" s="31"/>
      <c r="Q38" s="48"/>
      <c r="R38" s="31"/>
      <c r="S38" s="31"/>
      <c r="V38" s="31"/>
      <c r="Y38" s="31" t="b">
        <v>1</v>
      </c>
      <c r="AB38" s="31"/>
      <c r="AC38" s="31"/>
    </row>
    <row r="39" spans="2:29" s="64" customFormat="1">
      <c r="B39" s="31"/>
      <c r="C39" s="31"/>
      <c r="E39" s="40"/>
      <c r="F39" s="40"/>
      <c r="I39" s="64">
        <f t="shared" si="0"/>
        <v>8</v>
      </c>
      <c r="J39" s="88"/>
      <c r="L39" s="64" t="s">
        <v>376</v>
      </c>
      <c r="M39" s="18" t="str">
        <f t="shared" ref="M39" si="25">CONCATENATE("roster_2012_",I39)</f>
        <v>roster_2012_8</v>
      </c>
      <c r="N39" s="64" t="str">
        <f t="shared" ref="N39" si="26">CONCATENATE("zcheck_roster_2012_",I39)</f>
        <v>zcheck_roster_2012_8</v>
      </c>
      <c r="O39" s="31"/>
      <c r="P39" s="31"/>
      <c r="Q39" s="48"/>
      <c r="R39" s="31"/>
      <c r="S39" s="31"/>
      <c r="V39" s="31"/>
      <c r="Y39" s="31" t="b">
        <v>1</v>
      </c>
      <c r="AB39" s="31"/>
      <c r="AC39" s="31"/>
    </row>
    <row r="40" spans="2:29" s="64" customFormat="1">
      <c r="B40" s="31"/>
      <c r="C40" s="31"/>
      <c r="E40" s="40"/>
      <c r="F40" s="40"/>
      <c r="I40" s="64">
        <f t="shared" si="0"/>
        <v>8</v>
      </c>
      <c r="J40" s="88"/>
      <c r="L40" s="64" t="s">
        <v>376</v>
      </c>
      <c r="M40" s="18" t="str">
        <f t="shared" ref="M40" si="27">CONCATENATE("roster_2018_",I40)</f>
        <v>roster_2018_8</v>
      </c>
      <c r="N40" s="64" t="str">
        <f t="shared" ref="N40" si="28">CONCATENATE("zcheck_roster_2018_",I39)</f>
        <v>zcheck_roster_2018_8</v>
      </c>
      <c r="O40" s="31"/>
      <c r="P40" s="31"/>
      <c r="Q40" s="48"/>
      <c r="R40" s="31"/>
      <c r="S40" s="31"/>
      <c r="V40" s="31"/>
      <c r="Y40" s="31" t="b">
        <v>1</v>
      </c>
      <c r="AB40" s="31"/>
      <c r="AC40" s="31"/>
    </row>
    <row r="41" spans="2:29" s="64" customFormat="1">
      <c r="B41" s="31"/>
      <c r="C41" s="31"/>
      <c r="E41" s="40"/>
      <c r="F41" s="40"/>
      <c r="I41" s="64">
        <f t="shared" si="0"/>
        <v>9</v>
      </c>
      <c r="J41" s="88"/>
      <c r="L41" s="64" t="s">
        <v>376</v>
      </c>
      <c r="M41" s="18" t="str">
        <f t="shared" ref="M41" si="29">CONCATENATE("roster_2012_",I41)</f>
        <v>roster_2012_9</v>
      </c>
      <c r="N41" s="64" t="str">
        <f t="shared" ref="N41" si="30">CONCATENATE("zcheck_roster_2012_",I41)</f>
        <v>zcheck_roster_2012_9</v>
      </c>
      <c r="O41" s="31"/>
      <c r="P41" s="31"/>
      <c r="Q41" s="48"/>
      <c r="R41" s="31"/>
      <c r="S41" s="31"/>
      <c r="V41" s="31"/>
      <c r="Y41" s="31" t="b">
        <v>1</v>
      </c>
      <c r="AB41" s="31"/>
      <c r="AC41" s="31"/>
    </row>
    <row r="42" spans="2:29" s="64" customFormat="1">
      <c r="B42" s="31"/>
      <c r="C42" s="31"/>
      <c r="E42" s="40"/>
      <c r="F42" s="40"/>
      <c r="I42" s="64">
        <f t="shared" si="0"/>
        <v>9</v>
      </c>
      <c r="J42" s="88"/>
      <c r="L42" s="64" t="s">
        <v>376</v>
      </c>
      <c r="M42" s="18" t="str">
        <f t="shared" ref="M42" si="31">CONCATENATE("roster_2018_",I42)</f>
        <v>roster_2018_9</v>
      </c>
      <c r="N42" s="64" t="str">
        <f t="shared" ref="N42" si="32">CONCATENATE("zcheck_roster_2018_",I41)</f>
        <v>zcheck_roster_2018_9</v>
      </c>
      <c r="O42" s="31"/>
      <c r="P42" s="31"/>
      <c r="Q42" s="48"/>
      <c r="R42" s="31"/>
      <c r="S42" s="31"/>
      <c r="V42" s="31"/>
      <c r="Y42" s="31" t="b">
        <v>1</v>
      </c>
      <c r="AB42" s="31"/>
      <c r="AC42" s="31"/>
    </row>
    <row r="43" spans="2:29" s="64" customFormat="1">
      <c r="B43" s="31"/>
      <c r="C43" s="31"/>
      <c r="E43" s="40"/>
      <c r="F43" s="40"/>
      <c r="I43" s="64">
        <f t="shared" si="0"/>
        <v>10</v>
      </c>
      <c r="J43" s="88"/>
      <c r="L43" s="64" t="s">
        <v>376</v>
      </c>
      <c r="M43" s="18" t="str">
        <f t="shared" ref="M43" si="33">CONCATENATE("roster_2012_",I43)</f>
        <v>roster_2012_10</v>
      </c>
      <c r="N43" s="64" t="str">
        <f t="shared" ref="N43" si="34">CONCATENATE("zcheck_roster_2012_",I43)</f>
        <v>zcheck_roster_2012_10</v>
      </c>
      <c r="O43" s="31"/>
      <c r="P43" s="31"/>
      <c r="Q43" s="48"/>
      <c r="R43" s="31"/>
      <c r="S43" s="31"/>
      <c r="V43" s="31"/>
      <c r="Y43" s="31" t="b">
        <v>1</v>
      </c>
      <c r="AB43" s="31"/>
      <c r="AC43" s="31"/>
    </row>
    <row r="44" spans="2:29" s="64" customFormat="1">
      <c r="B44" s="31"/>
      <c r="C44" s="31"/>
      <c r="E44" s="40"/>
      <c r="F44" s="40"/>
      <c r="I44" s="64">
        <f t="shared" si="0"/>
        <v>10</v>
      </c>
      <c r="J44" s="88"/>
      <c r="L44" s="64" t="s">
        <v>376</v>
      </c>
      <c r="M44" s="18" t="str">
        <f t="shared" ref="M44" si="35">CONCATENATE("roster_2018_",I44)</f>
        <v>roster_2018_10</v>
      </c>
      <c r="N44" s="64" t="str">
        <f t="shared" ref="N44" si="36">CONCATENATE("zcheck_roster_2018_",I43)</f>
        <v>zcheck_roster_2018_10</v>
      </c>
      <c r="O44" s="31"/>
      <c r="P44" s="31"/>
      <c r="Q44" s="48"/>
      <c r="R44" s="31"/>
      <c r="S44" s="31"/>
      <c r="V44" s="31"/>
      <c r="Y44" s="31" t="b">
        <v>1</v>
      </c>
      <c r="AB44" s="31"/>
      <c r="AC44" s="31"/>
    </row>
    <row r="45" spans="2:29" s="64" customFormat="1">
      <c r="B45" s="31"/>
      <c r="C45" s="31"/>
      <c r="E45" s="40"/>
      <c r="F45" s="40"/>
      <c r="I45" s="64">
        <f t="shared" si="0"/>
        <v>11</v>
      </c>
      <c r="J45" s="88"/>
      <c r="L45" s="64" t="s">
        <v>376</v>
      </c>
      <c r="M45" s="18" t="str">
        <f t="shared" ref="M45" si="37">CONCATENATE("roster_2012_",I45)</f>
        <v>roster_2012_11</v>
      </c>
      <c r="N45" s="64" t="str">
        <f t="shared" ref="N45" si="38">CONCATENATE("zcheck_roster_2012_",I45)</f>
        <v>zcheck_roster_2012_11</v>
      </c>
      <c r="O45" s="31"/>
      <c r="P45" s="31"/>
      <c r="Q45" s="48"/>
      <c r="R45" s="31"/>
      <c r="S45" s="31"/>
      <c r="V45" s="31"/>
      <c r="Y45" s="31" t="b">
        <v>1</v>
      </c>
      <c r="AB45" s="31"/>
      <c r="AC45" s="31"/>
    </row>
    <row r="46" spans="2:29" s="64" customFormat="1">
      <c r="B46" s="31"/>
      <c r="C46" s="31"/>
      <c r="E46" s="40"/>
      <c r="F46" s="40"/>
      <c r="I46" s="64">
        <f t="shared" si="0"/>
        <v>11</v>
      </c>
      <c r="J46" s="88"/>
      <c r="L46" s="64" t="s">
        <v>376</v>
      </c>
      <c r="M46" s="18" t="str">
        <f t="shared" ref="M46" si="39">CONCATENATE("roster_2018_",I46)</f>
        <v>roster_2018_11</v>
      </c>
      <c r="N46" s="64" t="str">
        <f t="shared" ref="N46" si="40">CONCATENATE("zcheck_roster_2018_",I45)</f>
        <v>zcheck_roster_2018_11</v>
      </c>
      <c r="O46" s="31"/>
      <c r="P46" s="31"/>
      <c r="Q46" s="48"/>
      <c r="R46" s="31"/>
      <c r="S46" s="31"/>
      <c r="V46" s="31"/>
      <c r="Y46" s="31" t="b">
        <v>1</v>
      </c>
      <c r="AB46" s="31"/>
      <c r="AC46" s="31"/>
    </row>
    <row r="47" spans="2:29" s="64" customFormat="1">
      <c r="B47" s="31"/>
      <c r="C47" s="31"/>
      <c r="E47" s="40"/>
      <c r="F47" s="40"/>
      <c r="I47" s="64">
        <f t="shared" si="0"/>
        <v>12</v>
      </c>
      <c r="J47" s="88"/>
      <c r="L47" s="64" t="s">
        <v>376</v>
      </c>
      <c r="M47" s="18" t="str">
        <f t="shared" ref="M47" si="41">CONCATENATE("roster_2012_",I47)</f>
        <v>roster_2012_12</v>
      </c>
      <c r="N47" s="64" t="str">
        <f t="shared" ref="N47" si="42">CONCATENATE("zcheck_roster_2012_",I47)</f>
        <v>zcheck_roster_2012_12</v>
      </c>
      <c r="O47" s="31"/>
      <c r="P47" s="31"/>
      <c r="Q47" s="48"/>
      <c r="R47" s="31"/>
      <c r="S47" s="31"/>
      <c r="V47" s="31"/>
      <c r="Y47" s="31" t="b">
        <v>1</v>
      </c>
      <c r="AB47" s="31"/>
      <c r="AC47" s="31"/>
    </row>
    <row r="48" spans="2:29" s="64" customFormat="1">
      <c r="B48" s="31"/>
      <c r="C48" s="31"/>
      <c r="E48" s="40"/>
      <c r="F48" s="40"/>
      <c r="I48" s="64">
        <f t="shared" si="0"/>
        <v>12</v>
      </c>
      <c r="J48" s="88"/>
      <c r="L48" s="64" t="s">
        <v>376</v>
      </c>
      <c r="M48" s="18" t="str">
        <f t="shared" ref="M48" si="43">CONCATENATE("roster_2018_",I48)</f>
        <v>roster_2018_12</v>
      </c>
      <c r="N48" s="64" t="str">
        <f t="shared" ref="N48" si="44">CONCATENATE("zcheck_roster_2018_",I47)</f>
        <v>zcheck_roster_2018_12</v>
      </c>
      <c r="O48" s="31"/>
      <c r="P48" s="31"/>
      <c r="Q48" s="48"/>
      <c r="R48" s="31"/>
      <c r="S48" s="31"/>
      <c r="V48" s="31"/>
      <c r="Y48" s="31" t="b">
        <v>1</v>
      </c>
      <c r="AB48" s="31"/>
      <c r="AC48" s="31"/>
    </row>
    <row r="49" spans="2:29" s="64" customFormat="1">
      <c r="B49" s="31"/>
      <c r="C49" s="31"/>
      <c r="E49" s="40"/>
      <c r="F49" s="40"/>
      <c r="I49" s="64">
        <f t="shared" si="0"/>
        <v>13</v>
      </c>
      <c r="J49" s="88"/>
      <c r="L49" s="64" t="s">
        <v>376</v>
      </c>
      <c r="M49" s="18" t="str">
        <f t="shared" ref="M49" si="45">CONCATENATE("roster_2012_",I49)</f>
        <v>roster_2012_13</v>
      </c>
      <c r="N49" s="64" t="str">
        <f t="shared" ref="N49" si="46">CONCATENATE("zcheck_roster_2012_",I49)</f>
        <v>zcheck_roster_2012_13</v>
      </c>
      <c r="O49" s="31"/>
      <c r="P49" s="31"/>
      <c r="Q49" s="48"/>
      <c r="R49" s="31"/>
      <c r="S49" s="31"/>
      <c r="V49" s="31"/>
      <c r="Y49" s="31" t="b">
        <v>1</v>
      </c>
      <c r="AB49" s="31"/>
      <c r="AC49" s="31"/>
    </row>
    <row r="50" spans="2:29" s="64" customFormat="1">
      <c r="B50" s="31"/>
      <c r="C50" s="31"/>
      <c r="E50" s="40"/>
      <c r="F50" s="40"/>
      <c r="I50" s="64">
        <f t="shared" si="0"/>
        <v>13</v>
      </c>
      <c r="J50" s="88"/>
      <c r="L50" s="64" t="s">
        <v>376</v>
      </c>
      <c r="M50" s="18" t="str">
        <f t="shared" ref="M50" si="47">CONCATENATE("roster_2018_",I50)</f>
        <v>roster_2018_13</v>
      </c>
      <c r="N50" s="64" t="str">
        <f t="shared" ref="N50" si="48">CONCATENATE("zcheck_roster_2018_",I49)</f>
        <v>zcheck_roster_2018_13</v>
      </c>
      <c r="O50" s="31"/>
      <c r="P50" s="31"/>
      <c r="Q50" s="48"/>
      <c r="R50" s="31"/>
      <c r="S50" s="31"/>
      <c r="V50" s="31"/>
      <c r="Y50" s="31" t="b">
        <v>1</v>
      </c>
      <c r="AB50" s="31"/>
      <c r="AC50" s="31"/>
    </row>
    <row r="51" spans="2:29" s="64" customFormat="1">
      <c r="B51" s="31"/>
      <c r="C51" s="31"/>
      <c r="E51" s="40"/>
      <c r="F51" s="40"/>
      <c r="I51" s="64">
        <f t="shared" si="0"/>
        <v>14</v>
      </c>
      <c r="J51" s="88"/>
      <c r="L51" s="64" t="s">
        <v>376</v>
      </c>
      <c r="M51" s="18" t="str">
        <f t="shared" ref="M51" si="49">CONCATENATE("roster_2012_",I51)</f>
        <v>roster_2012_14</v>
      </c>
      <c r="N51" s="64" t="str">
        <f t="shared" ref="N51" si="50">CONCATENATE("zcheck_roster_2012_",I51)</f>
        <v>zcheck_roster_2012_14</v>
      </c>
      <c r="O51" s="31"/>
      <c r="P51" s="31"/>
      <c r="Q51" s="48"/>
      <c r="R51" s="31"/>
      <c r="S51" s="31"/>
      <c r="V51" s="31"/>
      <c r="Y51" s="31" t="b">
        <v>1</v>
      </c>
      <c r="AB51" s="31"/>
      <c r="AC51" s="31"/>
    </row>
    <row r="52" spans="2:29" s="64" customFormat="1">
      <c r="B52" s="31"/>
      <c r="C52" s="31"/>
      <c r="E52" s="40"/>
      <c r="F52" s="40"/>
      <c r="I52" s="64">
        <f t="shared" si="0"/>
        <v>14</v>
      </c>
      <c r="J52" s="88"/>
      <c r="L52" s="64" t="s">
        <v>376</v>
      </c>
      <c r="M52" s="18" t="str">
        <f t="shared" ref="M52" si="51">CONCATENATE("roster_2018_",I52)</f>
        <v>roster_2018_14</v>
      </c>
      <c r="N52" s="64" t="str">
        <f t="shared" ref="N52" si="52">CONCATENATE("zcheck_roster_2018_",I51)</f>
        <v>zcheck_roster_2018_14</v>
      </c>
      <c r="O52" s="31"/>
      <c r="P52" s="31"/>
      <c r="Q52" s="48"/>
      <c r="R52" s="31"/>
      <c r="S52" s="31"/>
      <c r="V52" s="31"/>
      <c r="Y52" s="31" t="b">
        <v>1</v>
      </c>
      <c r="AB52" s="31"/>
      <c r="AC52" s="31"/>
    </row>
    <row r="53" spans="2:29" s="64" customFormat="1">
      <c r="B53" s="31"/>
      <c r="C53" s="31"/>
      <c r="E53" s="40"/>
      <c r="F53" s="40"/>
      <c r="I53" s="64">
        <f t="shared" si="0"/>
        <v>15</v>
      </c>
      <c r="J53" s="88"/>
      <c r="L53" s="64" t="s">
        <v>376</v>
      </c>
      <c r="M53" s="18" t="str">
        <f t="shared" ref="M53" si="53">CONCATENATE("roster_2012_",I53)</f>
        <v>roster_2012_15</v>
      </c>
      <c r="N53" s="64" t="str">
        <f t="shared" ref="N53" si="54">CONCATENATE("zcheck_roster_2012_",I53)</f>
        <v>zcheck_roster_2012_15</v>
      </c>
      <c r="O53" s="31"/>
      <c r="P53" s="31"/>
      <c r="Q53" s="48"/>
      <c r="R53" s="31"/>
      <c r="S53" s="31"/>
      <c r="V53" s="31"/>
      <c r="Y53" s="31" t="b">
        <v>1</v>
      </c>
      <c r="AB53" s="31"/>
      <c r="AC53" s="31"/>
    </row>
    <row r="54" spans="2:29" s="64" customFormat="1">
      <c r="B54" s="31"/>
      <c r="C54" s="31"/>
      <c r="E54" s="40"/>
      <c r="F54" s="40"/>
      <c r="I54" s="64">
        <f t="shared" si="0"/>
        <v>15</v>
      </c>
      <c r="J54" s="88"/>
      <c r="L54" s="64" t="s">
        <v>376</v>
      </c>
      <c r="M54" s="18" t="str">
        <f t="shared" ref="M54" si="55">CONCATENATE("roster_2018_",I54)</f>
        <v>roster_2018_15</v>
      </c>
      <c r="N54" s="64" t="str">
        <f t="shared" ref="N54" si="56">CONCATENATE("zcheck_roster_2018_",I53)</f>
        <v>zcheck_roster_2018_15</v>
      </c>
      <c r="O54" s="31"/>
      <c r="P54" s="31"/>
      <c r="Q54" s="48"/>
      <c r="R54" s="31"/>
      <c r="S54" s="31"/>
      <c r="V54" s="31"/>
      <c r="Y54" s="31" t="b">
        <v>1</v>
      </c>
      <c r="AB54" s="31"/>
      <c r="AC54" s="31"/>
    </row>
    <row r="55" spans="2:29" s="64" customFormat="1">
      <c r="B55" s="31"/>
      <c r="C55" s="31"/>
      <c r="E55" s="40"/>
      <c r="F55" s="40"/>
      <c r="I55" s="64">
        <f t="shared" si="0"/>
        <v>16</v>
      </c>
      <c r="J55" s="88"/>
      <c r="L55" s="64" t="s">
        <v>376</v>
      </c>
      <c r="M55" s="18" t="str">
        <f t="shared" ref="M55" si="57">CONCATENATE("roster_2012_",I55)</f>
        <v>roster_2012_16</v>
      </c>
      <c r="N55" s="64" t="str">
        <f t="shared" ref="N55" si="58">CONCATENATE("zcheck_roster_2012_",I55)</f>
        <v>zcheck_roster_2012_16</v>
      </c>
      <c r="O55" s="31"/>
      <c r="P55" s="31"/>
      <c r="Q55" s="48"/>
      <c r="R55" s="31"/>
      <c r="S55" s="31"/>
      <c r="V55" s="31"/>
      <c r="Y55" s="31" t="b">
        <v>1</v>
      </c>
      <c r="AB55" s="31"/>
      <c r="AC55" s="31"/>
    </row>
    <row r="56" spans="2:29" s="64" customFormat="1">
      <c r="B56" s="31"/>
      <c r="C56" s="31"/>
      <c r="E56" s="40"/>
      <c r="F56" s="40"/>
      <c r="I56" s="64">
        <f t="shared" si="0"/>
        <v>16</v>
      </c>
      <c r="J56" s="88"/>
      <c r="L56" s="64" t="s">
        <v>376</v>
      </c>
      <c r="M56" s="18" t="str">
        <f t="shared" ref="M56" si="59">CONCATENATE("roster_2018_",I56)</f>
        <v>roster_2018_16</v>
      </c>
      <c r="N56" s="64" t="str">
        <f t="shared" ref="N56" si="60">CONCATENATE("zcheck_roster_2018_",I55)</f>
        <v>zcheck_roster_2018_16</v>
      </c>
      <c r="O56" s="31"/>
      <c r="P56" s="31"/>
      <c r="Q56" s="48"/>
      <c r="R56" s="31"/>
      <c r="S56" s="31"/>
      <c r="V56" s="31"/>
      <c r="Y56" s="31" t="b">
        <v>1</v>
      </c>
      <c r="AB56" s="31"/>
      <c r="AC56" s="31"/>
    </row>
    <row r="57" spans="2:29" s="64" customFormat="1">
      <c r="B57" s="31"/>
      <c r="C57" s="31"/>
      <c r="E57" s="40"/>
      <c r="F57" s="40"/>
      <c r="I57" s="64">
        <f t="shared" si="0"/>
        <v>17</v>
      </c>
      <c r="J57" s="88"/>
      <c r="L57" s="64" t="s">
        <v>376</v>
      </c>
      <c r="M57" s="18" t="str">
        <f t="shared" ref="M57" si="61">CONCATENATE("roster_2012_",I57)</f>
        <v>roster_2012_17</v>
      </c>
      <c r="N57" s="64" t="str">
        <f t="shared" ref="N57" si="62">CONCATENATE("zcheck_roster_2012_",I57)</f>
        <v>zcheck_roster_2012_17</v>
      </c>
      <c r="O57" s="31"/>
      <c r="P57" s="31"/>
      <c r="Q57" s="48"/>
      <c r="R57" s="31"/>
      <c r="S57" s="31"/>
      <c r="V57" s="31"/>
      <c r="Y57" s="31" t="b">
        <v>1</v>
      </c>
      <c r="AB57" s="31"/>
      <c r="AC57" s="31"/>
    </row>
    <row r="58" spans="2:29" s="64" customFormat="1">
      <c r="B58" s="31"/>
      <c r="C58" s="31"/>
      <c r="E58" s="40"/>
      <c r="F58" s="40"/>
      <c r="I58" s="64">
        <f t="shared" si="0"/>
        <v>17</v>
      </c>
      <c r="J58" s="88"/>
      <c r="L58" s="64" t="s">
        <v>376</v>
      </c>
      <c r="M58" s="18" t="str">
        <f t="shared" ref="M58" si="63">CONCATENATE("roster_2018_",I58)</f>
        <v>roster_2018_17</v>
      </c>
      <c r="N58" s="64" t="str">
        <f t="shared" ref="N58" si="64">CONCATENATE("zcheck_roster_2018_",I57)</f>
        <v>zcheck_roster_2018_17</v>
      </c>
      <c r="O58" s="31"/>
      <c r="P58" s="31"/>
      <c r="Q58" s="48"/>
      <c r="R58" s="31"/>
      <c r="S58" s="31"/>
      <c r="V58" s="31"/>
      <c r="Y58" s="31" t="b">
        <v>1</v>
      </c>
      <c r="AB58" s="31"/>
      <c r="AC58" s="31"/>
    </row>
    <row r="59" spans="2:29" s="64" customFormat="1">
      <c r="B59" s="31"/>
      <c r="C59" s="31"/>
      <c r="E59" s="40"/>
      <c r="F59" s="40"/>
      <c r="I59" s="64">
        <f t="shared" si="0"/>
        <v>18</v>
      </c>
      <c r="J59" s="88"/>
      <c r="L59" s="64" t="s">
        <v>376</v>
      </c>
      <c r="M59" s="18" t="str">
        <f t="shared" ref="M59" si="65">CONCATENATE("roster_2012_",I59)</f>
        <v>roster_2012_18</v>
      </c>
      <c r="N59" s="64" t="str">
        <f t="shared" ref="N59" si="66">CONCATENATE("zcheck_roster_2012_",I59)</f>
        <v>zcheck_roster_2012_18</v>
      </c>
      <c r="O59" s="31"/>
      <c r="P59" s="31"/>
      <c r="Q59" s="48"/>
      <c r="R59" s="31"/>
      <c r="S59" s="31"/>
      <c r="V59" s="31"/>
      <c r="Y59" s="31" t="b">
        <v>1</v>
      </c>
      <c r="AB59" s="31"/>
      <c r="AC59" s="31"/>
    </row>
    <row r="60" spans="2:29" s="64" customFormat="1">
      <c r="B60" s="31"/>
      <c r="C60" s="31"/>
      <c r="E60" s="40"/>
      <c r="F60" s="40"/>
      <c r="I60" s="64">
        <f t="shared" si="0"/>
        <v>18</v>
      </c>
      <c r="J60" s="88"/>
      <c r="L60" s="64" t="s">
        <v>376</v>
      </c>
      <c r="M60" s="18" t="str">
        <f t="shared" ref="M60" si="67">CONCATENATE("roster_2018_",I60)</f>
        <v>roster_2018_18</v>
      </c>
      <c r="N60" s="64" t="str">
        <f t="shared" ref="N60" si="68">CONCATENATE("zcheck_roster_2018_",I59)</f>
        <v>zcheck_roster_2018_18</v>
      </c>
      <c r="O60" s="31"/>
      <c r="P60" s="31"/>
      <c r="Q60" s="48"/>
      <c r="R60" s="31"/>
      <c r="S60" s="31"/>
      <c r="V60" s="31"/>
      <c r="Y60" s="31" t="b">
        <v>1</v>
      </c>
      <c r="AB60" s="31"/>
      <c r="AC60" s="31"/>
    </row>
    <row r="61" spans="2:29" s="64" customFormat="1">
      <c r="B61" s="31"/>
      <c r="C61" s="31"/>
      <c r="E61" s="40"/>
      <c r="F61" s="40"/>
      <c r="I61" s="64">
        <f t="shared" si="0"/>
        <v>19</v>
      </c>
      <c r="J61" s="88"/>
      <c r="L61" s="64" t="s">
        <v>376</v>
      </c>
      <c r="M61" s="18" t="str">
        <f t="shared" ref="M61" si="69">CONCATENATE("roster_2012_",I61)</f>
        <v>roster_2012_19</v>
      </c>
      <c r="N61" s="64" t="str">
        <f t="shared" ref="N61" si="70">CONCATENATE("zcheck_roster_2012_",I61)</f>
        <v>zcheck_roster_2012_19</v>
      </c>
      <c r="O61" s="31"/>
      <c r="P61" s="31"/>
      <c r="Q61" s="48"/>
      <c r="R61" s="31"/>
      <c r="S61" s="31"/>
      <c r="V61" s="31"/>
      <c r="Y61" s="31" t="b">
        <v>1</v>
      </c>
      <c r="AB61" s="31"/>
      <c r="AC61" s="31"/>
    </row>
    <row r="62" spans="2:29" s="64" customFormat="1">
      <c r="B62" s="31"/>
      <c r="C62" s="31"/>
      <c r="E62" s="40"/>
      <c r="F62" s="40"/>
      <c r="I62" s="64">
        <f t="shared" si="0"/>
        <v>19</v>
      </c>
      <c r="J62" s="88"/>
      <c r="L62" s="64" t="s">
        <v>376</v>
      </c>
      <c r="M62" s="18" t="str">
        <f t="shared" ref="M62" si="71">CONCATENATE("roster_2018_",I62)</f>
        <v>roster_2018_19</v>
      </c>
      <c r="N62" s="64" t="str">
        <f t="shared" ref="N62" si="72">CONCATENATE("zcheck_roster_2018_",I61)</f>
        <v>zcheck_roster_2018_19</v>
      </c>
      <c r="O62" s="31"/>
      <c r="P62" s="31"/>
      <c r="Q62" s="48"/>
      <c r="R62" s="31"/>
      <c r="S62" s="31"/>
      <c r="V62" s="31"/>
      <c r="Y62" s="31" t="b">
        <v>1</v>
      </c>
      <c r="AB62" s="31"/>
      <c r="AC62" s="31"/>
    </row>
    <row r="63" spans="2:29" s="64" customFormat="1">
      <c r="B63" s="31"/>
      <c r="C63" s="31"/>
      <c r="E63" s="40"/>
      <c r="F63" s="40"/>
      <c r="I63" s="64">
        <f t="shared" si="0"/>
        <v>20</v>
      </c>
      <c r="J63" s="88"/>
      <c r="L63" s="64" t="s">
        <v>376</v>
      </c>
      <c r="M63" s="18" t="str">
        <f t="shared" ref="M63" si="73">CONCATENATE("roster_2012_",I63)</f>
        <v>roster_2012_20</v>
      </c>
      <c r="N63" s="64" t="str">
        <f t="shared" ref="N63" si="74">CONCATENATE("zcheck_roster_2012_",I63)</f>
        <v>zcheck_roster_2012_20</v>
      </c>
      <c r="O63" s="31"/>
      <c r="P63" s="31"/>
      <c r="Q63" s="48"/>
      <c r="R63" s="31"/>
      <c r="S63" s="31"/>
      <c r="V63" s="31"/>
      <c r="Y63" s="31" t="b">
        <v>1</v>
      </c>
      <c r="AB63" s="31"/>
      <c r="AC63" s="31"/>
    </row>
    <row r="64" spans="2:29" s="64" customFormat="1">
      <c r="B64" s="31"/>
      <c r="C64" s="31"/>
      <c r="E64" s="40"/>
      <c r="F64" s="40"/>
      <c r="I64" s="64">
        <f t="shared" si="0"/>
        <v>20</v>
      </c>
      <c r="J64" s="88"/>
      <c r="L64" s="64" t="s">
        <v>376</v>
      </c>
      <c r="M64" s="18" t="str">
        <f t="shared" ref="M64" si="75">CONCATENATE("roster_2018_",I64)</f>
        <v>roster_2018_20</v>
      </c>
      <c r="N64" s="64" t="str">
        <f t="shared" ref="N64" si="76">CONCATENATE("zcheck_roster_2018_",I63)</f>
        <v>zcheck_roster_2018_20</v>
      </c>
      <c r="O64" s="31"/>
      <c r="P64" s="31"/>
      <c r="Q64" s="48"/>
      <c r="R64" s="31"/>
      <c r="S64" s="31"/>
      <c r="V64" s="31"/>
      <c r="Y64" s="31" t="b">
        <v>1</v>
      </c>
      <c r="AB64" s="31"/>
      <c r="AC64" s="31"/>
    </row>
    <row r="65" spans="2:29" s="64" customFormat="1">
      <c r="B65" s="31"/>
      <c r="C65" s="31"/>
      <c r="E65" s="40"/>
      <c r="F65" s="40"/>
      <c r="I65" s="64">
        <f t="shared" si="0"/>
        <v>21</v>
      </c>
      <c r="J65" s="88"/>
      <c r="L65" s="64" t="s">
        <v>376</v>
      </c>
      <c r="M65" s="18" t="str">
        <f t="shared" ref="M65" si="77">CONCATENATE("roster_2012_",I65)</f>
        <v>roster_2012_21</v>
      </c>
      <c r="N65" s="64" t="str">
        <f t="shared" ref="N65" si="78">CONCATENATE("zcheck_roster_2012_",I65)</f>
        <v>zcheck_roster_2012_21</v>
      </c>
      <c r="O65" s="31"/>
      <c r="P65" s="31"/>
      <c r="Q65" s="48"/>
      <c r="R65" s="31"/>
      <c r="S65" s="31"/>
      <c r="V65" s="31"/>
      <c r="Y65" s="31" t="b">
        <v>1</v>
      </c>
      <c r="AB65" s="31"/>
      <c r="AC65" s="31"/>
    </row>
    <row r="66" spans="2:29" s="64" customFormat="1">
      <c r="B66" s="31"/>
      <c r="C66" s="31"/>
      <c r="E66" s="40"/>
      <c r="F66" s="40"/>
      <c r="I66" s="64">
        <f t="shared" si="0"/>
        <v>21</v>
      </c>
      <c r="J66" s="88"/>
      <c r="L66" s="64" t="s">
        <v>376</v>
      </c>
      <c r="M66" s="18" t="str">
        <f t="shared" ref="M66" si="79">CONCATENATE("roster_2018_",I66)</f>
        <v>roster_2018_21</v>
      </c>
      <c r="N66" s="64" t="str">
        <f t="shared" ref="N66" si="80">CONCATENATE("zcheck_roster_2018_",I65)</f>
        <v>zcheck_roster_2018_21</v>
      </c>
      <c r="O66" s="31"/>
      <c r="P66" s="31"/>
      <c r="Q66" s="48"/>
      <c r="R66" s="31"/>
      <c r="S66" s="31"/>
      <c r="V66" s="31"/>
      <c r="Y66" s="31" t="b">
        <v>1</v>
      </c>
      <c r="AB66" s="31"/>
      <c r="AC66" s="31"/>
    </row>
    <row r="67" spans="2:29" s="64" customFormat="1">
      <c r="B67" s="31"/>
      <c r="C67" s="31"/>
      <c r="E67" s="40"/>
      <c r="F67" s="40"/>
      <c r="J67" s="88"/>
      <c r="M67" s="18"/>
      <c r="O67" s="31"/>
      <c r="P67" s="31"/>
      <c r="Q67" s="48"/>
      <c r="R67" s="31"/>
      <c r="S67" s="31"/>
      <c r="V67" s="31"/>
      <c r="Y67" s="31"/>
      <c r="AB67" s="31"/>
      <c r="AC67" s="31"/>
    </row>
    <row r="68" spans="2:29" s="64" customFormat="1">
      <c r="B68" s="31"/>
      <c r="C68" s="31"/>
      <c r="E68" s="40"/>
      <c r="F68" s="40"/>
      <c r="I68" s="64">
        <v>1</v>
      </c>
      <c r="J68" s="88" t="s">
        <v>23</v>
      </c>
      <c r="K68" s="64" t="str">
        <f>CONCATENATE("data('zcheck_roster_2012_",I68,"') != data('zcheck_roster_2018_",I68,"')")</f>
        <v>data('zcheck_roster_2012_1') != data('zcheck_roster_2018_1')</v>
      </c>
      <c r="M68" s="18"/>
      <c r="O68" s="76"/>
      <c r="P68" s="110"/>
      <c r="Q68" s="48"/>
      <c r="R68" s="31"/>
      <c r="S68" s="31"/>
      <c r="V68" s="31"/>
      <c r="Y68" s="31"/>
      <c r="AB68" s="31"/>
      <c r="AC68" s="31"/>
    </row>
    <row r="69" spans="2:29" s="64" customFormat="1" ht="225">
      <c r="B69" s="31" t="str">
        <f>CONCATENATE("Person ",I68," from 2012 was still present and should have been entered in the roster once and only was but was entered {{data.zcheck_roster_2018_",I68,"}} times")</f>
        <v>Person 1 from 2012 was still present and should have been entered in the roster once and only was but was entered {{data.zcheck_roster_2018_1}} times</v>
      </c>
      <c r="C69" s="31"/>
      <c r="E69" s="31" t="str">
        <f>CONCATENATE("الفرد ",I68," كان موجوداً في عام 2012 ويجب أن يدخل في البيانات الأساسية للأسرة المعيشية مرة واحدة فقط ولكنه دخل  {{data.zcheck_roster_2018_",I68,"}} مرة")</f>
        <v>الفرد 1 كان موجوداً في عام 2012 ويجب أن يدخل في البيانات الأساسية للأسرة المعيشية مرة واحدة فقط ولكنه دخل  {{data.zcheck_roster_2018_1}} مرة</v>
      </c>
      <c r="F69" s="31"/>
      <c r="J69" s="88"/>
      <c r="L69" s="64" t="s">
        <v>22</v>
      </c>
      <c r="M69" s="18"/>
      <c r="O69" s="76" t="str">
        <f>E69</f>
        <v>الفرد 1 كان موجوداً في عام 2012 ويجب أن يدخل في البيانات الأساسية للأسرة المعيشية مرة واحدة فقط ولكنه دخل  {{data.zcheck_roster_2018_1}} مرة</v>
      </c>
      <c r="P69" s="110" t="str">
        <f>B69</f>
        <v>Person 1 from 2012 was still present and should have been entered in the roster once and only was but was entered {{data.zcheck_roster_2018_1}} times</v>
      </c>
      <c r="Q69" s="48"/>
      <c r="R69" s="31"/>
      <c r="S69" s="31"/>
      <c r="V69" s="31"/>
      <c r="Y69" s="100" t="b">
        <v>1</v>
      </c>
      <c r="AB69" s="31"/>
      <c r="AC69" s="31"/>
    </row>
    <row r="70" spans="2:29" s="64" customFormat="1" ht="45" customHeight="1">
      <c r="B70" s="31"/>
      <c r="C70" s="48" t="str">
        <f>CONCATENATE("Constraints: ", X70)</f>
        <v>Constraints: Person 1 from 2012 was still present and should have been entered in the roster once and only was but was entered {{data.zcheck_roster_2018_1}} times</v>
      </c>
      <c r="D70" s="14"/>
      <c r="F70" s="48" t="str">
        <f>CONCATENATE("Constraints: ", W70)</f>
        <v>Constraints: الفرد 1 كان موجوداً في عام 2012 ويجب أن يدخل في البيانات الأساسية للأسرة المعيشية مرة واحدة فقط ولكنه دخل  {{data.zcheck_roster_2018_1}} مرة</v>
      </c>
      <c r="J70" s="88"/>
      <c r="L70" s="434" t="s">
        <v>18</v>
      </c>
      <c r="M70" s="71" t="s">
        <v>1594</v>
      </c>
      <c r="N70" s="64" t="str">
        <f>CONCATENATE("zcheck_5_",I68)</f>
        <v>zcheck_5_1</v>
      </c>
      <c r="O70" s="76"/>
      <c r="P70" s="110"/>
      <c r="Q70" s="48"/>
      <c r="R70" s="31"/>
      <c r="S70" s="31"/>
      <c r="V70" s="31" t="str">
        <f>CONCATENATE("data('valid_overall') == 0 || data('",N25,"') == data('",N26,"')")</f>
        <v>data('valid_overall') == 0 || data('zcheck_roster_2012_1') == data('zcheck_roster_2018_1')</v>
      </c>
      <c r="W70" s="64" t="str">
        <f>E69</f>
        <v>الفرد 1 كان موجوداً في عام 2012 ويجب أن يدخل في البيانات الأساسية للأسرة المعيشية مرة واحدة فقط ولكنه دخل  {{data.zcheck_roster_2018_1}} مرة</v>
      </c>
      <c r="X70" s="64" t="str">
        <f>B69</f>
        <v>Person 1 from 2012 was still present and should have been entered in the roster once and only was but was entered {{data.zcheck_roster_2018_1}} times</v>
      </c>
      <c r="Y70" s="100" t="b">
        <v>1</v>
      </c>
      <c r="AB70" s="31"/>
      <c r="AC70" s="31"/>
    </row>
    <row r="71" spans="2:29" s="64" customFormat="1">
      <c r="B71" s="31"/>
      <c r="C71" s="31"/>
      <c r="F71" s="40"/>
      <c r="J71" s="88" t="s">
        <v>24</v>
      </c>
      <c r="M71" s="18"/>
      <c r="O71" s="76"/>
      <c r="P71" s="110"/>
      <c r="Q71" s="48"/>
      <c r="R71" s="31"/>
      <c r="S71" s="31"/>
      <c r="V71" s="31"/>
      <c r="Y71" s="31"/>
      <c r="AB71" s="31"/>
      <c r="AC71" s="31"/>
    </row>
    <row r="72" spans="2:29" s="64" customFormat="1">
      <c r="B72" s="31"/>
      <c r="C72" s="31"/>
      <c r="F72" s="40"/>
      <c r="I72" s="64">
        <f>I68+1</f>
        <v>2</v>
      </c>
      <c r="J72" s="88" t="s">
        <v>23</v>
      </c>
      <c r="K72" s="64" t="str">
        <f>CONCATENATE("data('zcheck_roster_2012_",I72,"') != data('zcheck_roster_2018_",I72,"')")</f>
        <v>data('zcheck_roster_2012_2') != data('zcheck_roster_2018_2')</v>
      </c>
      <c r="M72" s="18"/>
      <c r="O72" s="76"/>
      <c r="P72" s="110"/>
      <c r="Q72" s="48"/>
      <c r="R72" s="31"/>
      <c r="S72" s="31"/>
      <c r="Y72" s="31"/>
      <c r="AB72" s="31"/>
      <c r="AC72" s="31"/>
    </row>
    <row r="73" spans="2:29" s="64" customFormat="1" ht="225">
      <c r="B73" s="31" t="str">
        <f>CONCATENATE("Person ",I72," from 2012 was still present and should have been entered in the roster once and only was but was entered {{data.zcheck_roster_2018_",I72,"}} times")</f>
        <v>Person 2 from 2012 was still present and should have been entered in the roster once and only was but was entered {{data.zcheck_roster_2018_2}} times</v>
      </c>
      <c r="C73" s="31"/>
      <c r="E73" s="31" t="str">
        <f>CONCATENATE("الفرد ",I72," كان موجوداً في عام 2012 ويجب أن يدخل في البيانات الأساسية للأسرة المعيشية مرة واحدة فقط ولكنه دخل  {{data.zcheck_roster_2018_",I72,"}} مرة")</f>
        <v>الفرد 2 كان موجوداً في عام 2012 ويجب أن يدخل في البيانات الأساسية للأسرة المعيشية مرة واحدة فقط ولكنه دخل  {{data.zcheck_roster_2018_2}} مرة</v>
      </c>
      <c r="F73" s="31"/>
      <c r="J73" s="88"/>
      <c r="L73" s="64" t="s">
        <v>22</v>
      </c>
      <c r="M73" s="18"/>
      <c r="O73" s="76" t="str">
        <f>E73</f>
        <v>الفرد 2 كان موجوداً في عام 2012 ويجب أن يدخل في البيانات الأساسية للأسرة المعيشية مرة واحدة فقط ولكنه دخل  {{data.zcheck_roster_2018_2}} مرة</v>
      </c>
      <c r="P73" s="110" t="str">
        <f>B73</f>
        <v>Person 2 from 2012 was still present and should have been entered in the roster once and only was but was entered {{data.zcheck_roster_2018_2}} times</v>
      </c>
      <c r="Q73" s="48"/>
      <c r="R73" s="31"/>
      <c r="S73" s="31"/>
      <c r="V73" s="31"/>
      <c r="Y73" s="100" t="b">
        <v>1</v>
      </c>
      <c r="AB73" s="31"/>
      <c r="AC73" s="31"/>
    </row>
    <row r="74" spans="2:29" s="64" customFormat="1" ht="45" customHeight="1">
      <c r="B74" s="31"/>
      <c r="C74" s="48" t="str">
        <f>CONCATENATE("Constraints: ", X74)</f>
        <v>Constraints: Person 2 from 2012 was still present and should have been entered in the roster once and only was but was entered {{data.zcheck_roster_2018_2}} times</v>
      </c>
      <c r="D74" s="14"/>
      <c r="F74" s="48" t="str">
        <f>CONCATENATE("Constraints: ", W74)</f>
        <v>Constraints: الفرد 2 كان موجوداً في عام 2012 ويجب أن يدخل في البيانات الأساسية للأسرة المعيشية مرة واحدة فقط ولكنه دخل  {{data.zcheck_roster_2018_2}} مرة</v>
      </c>
      <c r="J74" s="88"/>
      <c r="L74" s="434" t="s">
        <v>18</v>
      </c>
      <c r="M74" s="71" t="s">
        <v>1594</v>
      </c>
      <c r="N74" s="64" t="str">
        <f>CONCATENATE("zcheck_5_",I72)</f>
        <v>zcheck_5_2</v>
      </c>
      <c r="O74" s="76"/>
      <c r="P74" s="110"/>
      <c r="Q74" s="48"/>
      <c r="R74" s="31"/>
      <c r="S74" s="31"/>
      <c r="V74" s="31" t="str">
        <f>CONCATENATE("data('valid_overall') == 0 || data('",N27,"') == data('",N28,"')")</f>
        <v>data('valid_overall') == 0 || data('zcheck_roster_2012_2') == data('zcheck_roster_2018_2')</v>
      </c>
      <c r="W74" s="64" t="str">
        <f>E73</f>
        <v>الفرد 2 كان موجوداً في عام 2012 ويجب أن يدخل في البيانات الأساسية للأسرة المعيشية مرة واحدة فقط ولكنه دخل  {{data.zcheck_roster_2018_2}} مرة</v>
      </c>
      <c r="X74" s="64" t="str">
        <f>B73</f>
        <v>Person 2 from 2012 was still present and should have been entered in the roster once and only was but was entered {{data.zcheck_roster_2018_2}} times</v>
      </c>
      <c r="Y74" s="100" t="b">
        <v>1</v>
      </c>
      <c r="AB74" s="31"/>
      <c r="AC74" s="31"/>
    </row>
    <row r="75" spans="2:29" s="64" customFormat="1">
      <c r="B75" s="31"/>
      <c r="C75" s="31"/>
      <c r="F75" s="40"/>
      <c r="J75" s="88" t="s">
        <v>24</v>
      </c>
      <c r="M75" s="18"/>
      <c r="O75" s="76"/>
      <c r="P75" s="110"/>
      <c r="Q75" s="48"/>
      <c r="R75" s="31"/>
      <c r="S75" s="31"/>
      <c r="V75" s="31"/>
      <c r="Y75" s="31"/>
      <c r="AB75" s="31"/>
      <c r="AC75" s="31"/>
    </row>
    <row r="76" spans="2:29" s="64" customFormat="1">
      <c r="B76" s="31"/>
      <c r="C76" s="31"/>
      <c r="F76" s="40"/>
      <c r="I76" s="64">
        <f>I72+1</f>
        <v>3</v>
      </c>
      <c r="J76" s="88" t="s">
        <v>23</v>
      </c>
      <c r="K76" s="64" t="str">
        <f>CONCATENATE("data('zcheck_roster_2012_",I76,"') != data('zcheck_roster_2018_",I76,"')")</f>
        <v>data('zcheck_roster_2012_3') != data('zcheck_roster_2018_3')</v>
      </c>
      <c r="M76" s="18"/>
      <c r="O76" s="76"/>
      <c r="P76" s="110"/>
      <c r="Q76" s="48"/>
      <c r="R76" s="31"/>
      <c r="S76" s="31"/>
      <c r="Y76" s="31"/>
      <c r="AB76" s="31"/>
      <c r="AC76" s="31"/>
    </row>
    <row r="77" spans="2:29" s="64" customFormat="1" ht="225">
      <c r="B77" s="31" t="str">
        <f>CONCATENATE("Person ",I76," from 2012 was still present and should have been entered in the roster once and only was but was entered {{data.zcheck_roster_2018_",I76,"}} times")</f>
        <v>Person 3 from 2012 was still present and should have been entered in the roster once and only was but was entered {{data.zcheck_roster_2018_3}} times</v>
      </c>
      <c r="C77" s="31"/>
      <c r="E77" s="31" t="str">
        <f>CONCATENATE("الفرد ",I76," كان موجوداً في عام 2012 ويجب أن يدخل في البيانات الأساسية للأسرة المعيشية مرة واحدة فقط ولكنه دخل  {{data.zcheck_roster_2018_",I76,"}} مرة")</f>
        <v>الفرد 3 كان موجوداً في عام 2012 ويجب أن يدخل في البيانات الأساسية للأسرة المعيشية مرة واحدة فقط ولكنه دخل  {{data.zcheck_roster_2018_3}} مرة</v>
      </c>
      <c r="F77" s="31"/>
      <c r="J77" s="88"/>
      <c r="L77" s="64" t="s">
        <v>22</v>
      </c>
      <c r="M77" s="18"/>
      <c r="O77" s="76" t="str">
        <f>E77</f>
        <v>الفرد 3 كان موجوداً في عام 2012 ويجب أن يدخل في البيانات الأساسية للأسرة المعيشية مرة واحدة فقط ولكنه دخل  {{data.zcheck_roster_2018_3}} مرة</v>
      </c>
      <c r="P77" s="110" t="str">
        <f>B77</f>
        <v>Person 3 from 2012 was still present and should have been entered in the roster once and only was but was entered {{data.zcheck_roster_2018_3}} times</v>
      </c>
      <c r="Q77" s="48"/>
      <c r="R77" s="31"/>
      <c r="S77" s="31"/>
      <c r="V77" s="31"/>
      <c r="Y77" s="100" t="b">
        <v>1</v>
      </c>
      <c r="AB77" s="31"/>
      <c r="AC77" s="31"/>
    </row>
    <row r="78" spans="2:29" s="64" customFormat="1" ht="45" customHeight="1">
      <c r="B78" s="31"/>
      <c r="C78" s="48" t="str">
        <f>CONCATENATE("Constraints: ", X78)</f>
        <v>Constraints: Person 3 from 2012 was still present and should have been entered in the roster once and only was but was entered {{data.zcheck_roster_2018_3}} times</v>
      </c>
      <c r="F78" s="48" t="str">
        <f>CONCATENATE("Constraints: ", W78)</f>
        <v>Constraints: الفرد 3 كان موجوداً في عام 2012 ويجب أن يدخل في البيانات الأساسية للأسرة المعيشية مرة واحدة فقط ولكنه دخل  {{data.zcheck_roster_2018_3}} مرة</v>
      </c>
      <c r="J78" s="88"/>
      <c r="L78" s="434" t="s">
        <v>18</v>
      </c>
      <c r="M78" s="71" t="s">
        <v>1594</v>
      </c>
      <c r="N78" s="64" t="str">
        <f>CONCATENATE("zcheck_5_",I76)</f>
        <v>zcheck_5_3</v>
      </c>
      <c r="O78" s="76"/>
      <c r="P78" s="110"/>
      <c r="Q78" s="48"/>
      <c r="R78" s="31"/>
      <c r="S78" s="31"/>
      <c r="V78" s="31" t="str">
        <f>CONCATENATE("data('valid_overall') == 0 || data('",N29,"') == data('",N30,"')")</f>
        <v>data('valid_overall') == 0 || data('zcheck_roster_2012_3') == data('zcheck_roster_2018_3')</v>
      </c>
      <c r="W78" s="64" t="str">
        <f>E77</f>
        <v>الفرد 3 كان موجوداً في عام 2012 ويجب أن يدخل في البيانات الأساسية للأسرة المعيشية مرة واحدة فقط ولكنه دخل  {{data.zcheck_roster_2018_3}} مرة</v>
      </c>
      <c r="X78" s="64" t="str">
        <f>B77</f>
        <v>Person 3 from 2012 was still present and should have been entered in the roster once and only was but was entered {{data.zcheck_roster_2018_3}} times</v>
      </c>
      <c r="Y78" s="100" t="b">
        <v>1</v>
      </c>
      <c r="AB78" s="31"/>
      <c r="AC78" s="31"/>
    </row>
    <row r="79" spans="2:29" s="64" customFormat="1">
      <c r="B79" s="31"/>
      <c r="C79" s="31"/>
      <c r="F79" s="40"/>
      <c r="J79" s="88" t="s">
        <v>24</v>
      </c>
      <c r="M79" s="18"/>
      <c r="O79" s="76"/>
      <c r="P79" s="110"/>
      <c r="Q79" s="48"/>
      <c r="R79" s="31"/>
      <c r="S79" s="31"/>
      <c r="V79" s="31"/>
      <c r="Y79" s="31"/>
      <c r="AB79" s="31"/>
      <c r="AC79" s="31"/>
    </row>
    <row r="80" spans="2:29" s="64" customFormat="1">
      <c r="B80" s="31"/>
      <c r="C80" s="31"/>
      <c r="F80" s="40"/>
      <c r="I80" s="64">
        <f>I76+1</f>
        <v>4</v>
      </c>
      <c r="J80" s="88" t="s">
        <v>23</v>
      </c>
      <c r="K80" s="64" t="str">
        <f>CONCATENATE("data('zcheck_roster_2012_",I80,"') != data('zcheck_roster_2018_",I80,"')")</f>
        <v>data('zcheck_roster_2012_4') != data('zcheck_roster_2018_4')</v>
      </c>
      <c r="M80" s="18"/>
      <c r="O80" s="76"/>
      <c r="P80" s="110"/>
      <c r="Q80" s="48"/>
      <c r="R80" s="31"/>
      <c r="S80" s="31"/>
      <c r="Y80" s="31"/>
      <c r="AB80" s="31"/>
      <c r="AC80" s="31"/>
    </row>
    <row r="81" spans="2:29" s="64" customFormat="1" ht="225">
      <c r="B81" s="31" t="str">
        <f>CONCATENATE("Person ",I80," from 2012 was still present and should have been entered in the roster once and only was but was entered {{data.zcheck_roster_2018_",I80,"}} times")</f>
        <v>Person 4 from 2012 was still present and should have been entered in the roster once and only was but was entered {{data.zcheck_roster_2018_4}} times</v>
      </c>
      <c r="C81" s="31"/>
      <c r="E81" s="31" t="str">
        <f>CONCATENATE("الفرد ",I80," كان موجوداً في عام 2012 ويجب أن يدخل في البيانات الأساسية للأسرة المعيشية مرة واحدة فقط ولكنه دخل  {{data.zcheck_roster_2018_",I80,"}} مرة")</f>
        <v>الفرد 4 كان موجوداً في عام 2012 ويجب أن يدخل في البيانات الأساسية للأسرة المعيشية مرة واحدة فقط ولكنه دخل  {{data.zcheck_roster_2018_4}} مرة</v>
      </c>
      <c r="F81" s="31"/>
      <c r="J81" s="88"/>
      <c r="L81" s="64" t="s">
        <v>22</v>
      </c>
      <c r="M81" s="18"/>
      <c r="O81" s="76" t="str">
        <f>E81</f>
        <v>الفرد 4 كان موجوداً في عام 2012 ويجب أن يدخل في البيانات الأساسية للأسرة المعيشية مرة واحدة فقط ولكنه دخل  {{data.zcheck_roster_2018_4}} مرة</v>
      </c>
      <c r="P81" s="110" t="str">
        <f>B81</f>
        <v>Person 4 from 2012 was still present and should have been entered in the roster once and only was but was entered {{data.zcheck_roster_2018_4}} times</v>
      </c>
      <c r="Q81" s="48"/>
      <c r="R81" s="31"/>
      <c r="S81" s="31"/>
      <c r="V81" s="31"/>
      <c r="Y81" s="100" t="b">
        <v>1</v>
      </c>
      <c r="AB81" s="31"/>
      <c r="AC81" s="31"/>
    </row>
    <row r="82" spans="2:29" s="64" customFormat="1" ht="45" customHeight="1">
      <c r="B82" s="31"/>
      <c r="C82" s="48" t="str">
        <f>CONCATENATE("Constraints: ", X82)</f>
        <v>Constraints: Person 4 from 2012 was still present and should have been entered in the roster once and only was but was entered {{data.zcheck_roster_2018_4}} times</v>
      </c>
      <c r="F82" s="48" t="str">
        <f>CONCATENATE("Constraints: ", W82)</f>
        <v>Constraints: الفرد 4 كان موجوداً في عام 2012 ويجب أن يدخل في البيانات الأساسية للأسرة المعيشية مرة واحدة فقط ولكنه دخل  {{data.zcheck_roster_2018_4}} مرة</v>
      </c>
      <c r="J82" s="88"/>
      <c r="L82" s="434" t="s">
        <v>18</v>
      </c>
      <c r="M82" s="71" t="s">
        <v>1594</v>
      </c>
      <c r="N82" s="64" t="str">
        <f>CONCATENATE("zcheck_5_",I80)</f>
        <v>zcheck_5_4</v>
      </c>
      <c r="O82" s="76"/>
      <c r="P82" s="110"/>
      <c r="Q82" s="48"/>
      <c r="R82" s="31"/>
      <c r="S82" s="31"/>
      <c r="V82" s="31" t="str">
        <f>CONCATENATE("data('valid_overall') == 0 || data('",N31,"') == data('",N32,"')")</f>
        <v>data('valid_overall') == 0 || data('zcheck_roster_2012_4') == data('zcheck_roster_2018_4')</v>
      </c>
      <c r="W82" s="64" t="str">
        <f>E81</f>
        <v>الفرد 4 كان موجوداً في عام 2012 ويجب أن يدخل في البيانات الأساسية للأسرة المعيشية مرة واحدة فقط ولكنه دخل  {{data.zcheck_roster_2018_4}} مرة</v>
      </c>
      <c r="X82" s="64" t="str">
        <f>B81</f>
        <v>Person 4 from 2012 was still present and should have been entered in the roster once and only was but was entered {{data.zcheck_roster_2018_4}} times</v>
      </c>
      <c r="Y82" s="100" t="b">
        <v>1</v>
      </c>
      <c r="AB82" s="31"/>
      <c r="AC82" s="31"/>
    </row>
    <row r="83" spans="2:29" s="64" customFormat="1">
      <c r="B83" s="31"/>
      <c r="C83" s="31"/>
      <c r="F83" s="40"/>
      <c r="J83" s="88" t="s">
        <v>24</v>
      </c>
      <c r="M83" s="18"/>
      <c r="O83" s="76"/>
      <c r="P83" s="110"/>
      <c r="Q83" s="48"/>
      <c r="R83" s="31"/>
      <c r="S83" s="31"/>
      <c r="V83" s="31"/>
      <c r="Y83" s="31"/>
      <c r="AB83" s="31"/>
      <c r="AC83" s="31"/>
    </row>
    <row r="84" spans="2:29" s="64" customFormat="1">
      <c r="B84" s="31"/>
      <c r="C84" s="31"/>
      <c r="F84" s="40"/>
      <c r="I84" s="64">
        <f>I80+1</f>
        <v>5</v>
      </c>
      <c r="J84" s="88" t="s">
        <v>23</v>
      </c>
      <c r="K84" s="64" t="str">
        <f>CONCATENATE("data('zcheck_roster_2012_",I84,"') != data('zcheck_roster_2018_",I84,"')")</f>
        <v>data('zcheck_roster_2012_5') != data('zcheck_roster_2018_5')</v>
      </c>
      <c r="M84" s="18"/>
      <c r="O84" s="76"/>
      <c r="P84" s="110"/>
      <c r="Q84" s="48"/>
      <c r="R84" s="31"/>
      <c r="S84" s="31"/>
      <c r="Y84" s="31"/>
      <c r="AB84" s="31"/>
      <c r="AC84" s="31"/>
    </row>
    <row r="85" spans="2:29" s="64" customFormat="1" ht="225">
      <c r="B85" s="31" t="str">
        <f>CONCATENATE("Person ",I84," from 2012 was still present and should have been entered in the roster once and only was but was entered {{data.zcheck_roster_2018_",I84,"}} times")</f>
        <v>Person 5 from 2012 was still present and should have been entered in the roster once and only was but was entered {{data.zcheck_roster_2018_5}} times</v>
      </c>
      <c r="C85" s="31"/>
      <c r="E85" s="31" t="str">
        <f>CONCATENATE("الفرد ",I84," كان موجوداً في عام 2012 ويجب أن يدخل في البيانات الأساسية للأسرة المعيشية مرة واحدة فقط ولكنه دخل  {{data.zcheck_roster_2018_",I84,"}} مرة")</f>
        <v>الفرد 5 كان موجوداً في عام 2012 ويجب أن يدخل في البيانات الأساسية للأسرة المعيشية مرة واحدة فقط ولكنه دخل  {{data.zcheck_roster_2018_5}} مرة</v>
      </c>
      <c r="F85" s="31"/>
      <c r="J85" s="88"/>
      <c r="L85" s="64" t="s">
        <v>22</v>
      </c>
      <c r="M85" s="18"/>
      <c r="O85" s="76" t="str">
        <f>E85</f>
        <v>الفرد 5 كان موجوداً في عام 2012 ويجب أن يدخل في البيانات الأساسية للأسرة المعيشية مرة واحدة فقط ولكنه دخل  {{data.zcheck_roster_2018_5}} مرة</v>
      </c>
      <c r="P85" s="110" t="str">
        <f>B85</f>
        <v>Person 5 from 2012 was still present and should have been entered in the roster once and only was but was entered {{data.zcheck_roster_2018_5}} times</v>
      </c>
      <c r="Q85" s="48"/>
      <c r="R85" s="31"/>
      <c r="S85" s="31"/>
      <c r="V85" s="31"/>
      <c r="Y85" s="100" t="b">
        <v>1</v>
      </c>
      <c r="AB85" s="31"/>
      <c r="AC85" s="31"/>
    </row>
    <row r="86" spans="2:29" s="64" customFormat="1" ht="45" customHeight="1">
      <c r="B86" s="31"/>
      <c r="C86" s="48" t="str">
        <f>CONCATENATE("Constraints: ", X86)</f>
        <v>Constraints: Person 5 from 2012 was still present and should have been entered in the roster once and only was but was entered {{data.zcheck_roster_2018_5}} times</v>
      </c>
      <c r="E86" s="40"/>
      <c r="F86" s="48" t="str">
        <f>CONCATENATE("Constraints: ", W86)</f>
        <v>Constraints: الفرد 5 كان موجوداً في عام 2012 ويجب أن يدخل في البيانات الأساسية للأسرة المعيشية مرة واحدة فقط ولكنه دخل  {{data.zcheck_roster_2018_5}} مرة</v>
      </c>
      <c r="J86" s="88"/>
      <c r="L86" s="434" t="s">
        <v>18</v>
      </c>
      <c r="M86" s="71" t="s">
        <v>1594</v>
      </c>
      <c r="N86" s="64" t="str">
        <f>CONCATENATE("zcheck_5_",I84)</f>
        <v>zcheck_5_5</v>
      </c>
      <c r="O86" s="76"/>
      <c r="P86" s="110"/>
      <c r="Q86" s="48"/>
      <c r="R86" s="31"/>
      <c r="S86" s="31"/>
      <c r="V86" s="31" t="str">
        <f>CONCATENATE("data('valid_overall') == 0 || data('",N33,"') == data('",N34,"')")</f>
        <v>data('valid_overall') == 0 || data('zcheck_roster_2012_5') == data('zcheck_roster_2018_5')</v>
      </c>
      <c r="W86" s="64" t="str">
        <f>E85</f>
        <v>الفرد 5 كان موجوداً في عام 2012 ويجب أن يدخل في البيانات الأساسية للأسرة المعيشية مرة واحدة فقط ولكنه دخل  {{data.zcheck_roster_2018_5}} مرة</v>
      </c>
      <c r="X86" s="64" t="str">
        <f>B85</f>
        <v>Person 5 from 2012 was still present and should have been entered in the roster once and only was but was entered {{data.zcheck_roster_2018_5}} times</v>
      </c>
      <c r="Y86" s="100" t="b">
        <v>1</v>
      </c>
      <c r="AB86" s="31"/>
      <c r="AC86" s="31"/>
    </row>
    <row r="87" spans="2:29" s="64" customFormat="1">
      <c r="B87" s="31"/>
      <c r="C87" s="31"/>
      <c r="E87" s="40"/>
      <c r="F87" s="40"/>
      <c r="J87" s="88" t="s">
        <v>24</v>
      </c>
      <c r="M87" s="18"/>
      <c r="O87" s="76"/>
      <c r="P87" s="110"/>
      <c r="Q87" s="48"/>
      <c r="R87" s="31"/>
      <c r="S87" s="31"/>
      <c r="V87" s="31"/>
      <c r="Y87" s="31"/>
      <c r="AB87" s="31"/>
      <c r="AC87" s="31"/>
    </row>
    <row r="88" spans="2:29" s="64" customFormat="1">
      <c r="B88" s="31"/>
      <c r="C88" s="31"/>
      <c r="E88" s="40"/>
      <c r="F88" s="40"/>
      <c r="I88" s="64">
        <f>I84+1</f>
        <v>6</v>
      </c>
      <c r="J88" s="88" t="s">
        <v>23</v>
      </c>
      <c r="K88" s="64" t="str">
        <f>CONCATENATE("data('zcheck_roster_2012_",I88,"') != data('zcheck_roster_2018_",I88,"')")</f>
        <v>data('zcheck_roster_2012_6') != data('zcheck_roster_2018_6')</v>
      </c>
      <c r="M88" s="18"/>
      <c r="O88" s="76"/>
      <c r="P88" s="110"/>
      <c r="Q88" s="48"/>
      <c r="R88" s="31"/>
      <c r="S88" s="31"/>
      <c r="Y88" s="31"/>
      <c r="AB88" s="31"/>
      <c r="AC88" s="31"/>
    </row>
    <row r="89" spans="2:29" s="64" customFormat="1" ht="225">
      <c r="B89" s="31" t="str">
        <f>CONCATENATE("Person ",I88," from 2012 was still present and should have been entered in the roster once and only was but was entered {{data.zcheck_roster_2018_",I88,"}} times")</f>
        <v>Person 6 from 2012 was still present and should have been entered in the roster once and only was but was entered {{data.zcheck_roster_2018_6}} times</v>
      </c>
      <c r="C89" s="31"/>
      <c r="E89" s="31" t="str">
        <f>CONCATENATE("الفرد ",I88," كان موجوداً في عام 2012 ويجب أن يدخل في البيانات الأساسية للأسرة المعيشية مرة واحدة فقط ولكنه دخل  {{data.zcheck_roster_2018_",I88,"}} مرة")</f>
        <v>الفرد 6 كان موجوداً في عام 2012 ويجب أن يدخل في البيانات الأساسية للأسرة المعيشية مرة واحدة فقط ولكنه دخل  {{data.zcheck_roster_2018_6}} مرة</v>
      </c>
      <c r="F89" s="31"/>
      <c r="J89" s="88"/>
      <c r="L89" s="64" t="s">
        <v>22</v>
      </c>
      <c r="M89" s="18"/>
      <c r="O89" s="76" t="str">
        <f>E89</f>
        <v>الفرد 6 كان موجوداً في عام 2012 ويجب أن يدخل في البيانات الأساسية للأسرة المعيشية مرة واحدة فقط ولكنه دخل  {{data.zcheck_roster_2018_6}} مرة</v>
      </c>
      <c r="P89" s="110" t="str">
        <f>B89</f>
        <v>Person 6 from 2012 was still present and should have been entered in the roster once and only was but was entered {{data.zcheck_roster_2018_6}} times</v>
      </c>
      <c r="Q89" s="48"/>
      <c r="R89" s="31"/>
      <c r="S89" s="31"/>
      <c r="V89" s="31"/>
      <c r="Y89" s="100" t="b">
        <v>1</v>
      </c>
      <c r="AB89" s="31"/>
      <c r="AC89" s="31"/>
    </row>
    <row r="90" spans="2:29" s="64" customFormat="1" ht="45" customHeight="1">
      <c r="B90" s="31"/>
      <c r="C90" s="48" t="str">
        <f>CONCATENATE("Constraints: ", X90)</f>
        <v>Constraints: Person 6 from 2012 was still present and should have been entered in the roster once and only was but was entered {{data.zcheck_roster_2018_6}} times</v>
      </c>
      <c r="F90" s="48" t="str">
        <f>CONCATENATE("Constraints: ", W90)</f>
        <v>Constraints: الفرد 6 كان موجوداً في عام 2012 ويجب أن يدخل في البيانات الأساسية للأسرة المعيشية مرة واحدة فقط ولكنه دخل  {{data.zcheck_roster_2018_6}} مرة</v>
      </c>
      <c r="J90" s="88"/>
      <c r="L90" s="434" t="s">
        <v>18</v>
      </c>
      <c r="M90" s="71" t="s">
        <v>1594</v>
      </c>
      <c r="N90" s="64" t="str">
        <f>CONCATENATE("zcheck_5_",I88)</f>
        <v>zcheck_5_6</v>
      </c>
      <c r="O90" s="76"/>
      <c r="P90" s="110"/>
      <c r="Q90" s="48"/>
      <c r="R90" s="31"/>
      <c r="S90" s="31"/>
      <c r="V90" s="31" t="str">
        <f>CONCATENATE("data('valid_overall') == 0 || data('",N35,"') == data('",N36,"')")</f>
        <v>data('valid_overall') == 0 || data('zcheck_roster_2012_6') == data('zcheck_roster_2018_6')</v>
      </c>
      <c r="W90" s="64" t="str">
        <f>E89</f>
        <v>الفرد 6 كان موجوداً في عام 2012 ويجب أن يدخل في البيانات الأساسية للأسرة المعيشية مرة واحدة فقط ولكنه دخل  {{data.zcheck_roster_2018_6}} مرة</v>
      </c>
      <c r="X90" s="64" t="str">
        <f>B89</f>
        <v>Person 6 from 2012 was still present and should have been entered in the roster once and only was but was entered {{data.zcheck_roster_2018_6}} times</v>
      </c>
      <c r="Y90" s="100" t="b">
        <v>1</v>
      </c>
      <c r="AB90" s="31"/>
      <c r="AC90" s="31"/>
    </row>
    <row r="91" spans="2:29" s="64" customFormat="1">
      <c r="B91" s="31"/>
      <c r="C91" s="31"/>
      <c r="F91" s="40"/>
      <c r="J91" s="88" t="s">
        <v>24</v>
      </c>
      <c r="M91" s="18"/>
      <c r="O91" s="76"/>
      <c r="P91" s="110"/>
      <c r="Q91" s="48"/>
      <c r="R91" s="31"/>
      <c r="S91" s="31"/>
      <c r="V91" s="31"/>
      <c r="Y91" s="31"/>
      <c r="AB91" s="31"/>
      <c r="AC91" s="31"/>
    </row>
    <row r="92" spans="2:29" s="64" customFormat="1">
      <c r="B92" s="31"/>
      <c r="C92" s="31"/>
      <c r="F92" s="40"/>
      <c r="I92" s="64">
        <f>I88+1</f>
        <v>7</v>
      </c>
      <c r="J92" s="88" t="s">
        <v>23</v>
      </c>
      <c r="K92" s="64" t="str">
        <f>CONCATENATE("data('zcheck_roster_2012_",I92,"') != data('zcheck_roster_2018_",I92,"')")</f>
        <v>data('zcheck_roster_2012_7') != data('zcheck_roster_2018_7')</v>
      </c>
      <c r="M92" s="18"/>
      <c r="O92" s="76"/>
      <c r="P92" s="110"/>
      <c r="Q92" s="48"/>
      <c r="R92" s="31"/>
      <c r="S92" s="31"/>
      <c r="Y92" s="31"/>
      <c r="AB92" s="31"/>
      <c r="AC92" s="31"/>
    </row>
    <row r="93" spans="2:29" s="64" customFormat="1" ht="225">
      <c r="B93" s="31" t="str">
        <f>CONCATENATE("Person ",I92," from 2012 was still present and should have been entered in the roster once and only was but was entered {{data.zcheck_roster_2018_",I92,"}} times")</f>
        <v>Person 7 from 2012 was still present and should have been entered in the roster once and only was but was entered {{data.zcheck_roster_2018_7}} times</v>
      </c>
      <c r="C93" s="31"/>
      <c r="E93" s="31" t="str">
        <f>CONCATENATE("الفرد ",I92," كان موجوداً في عام 2012 ويجب أن يدخل في البيانات الأساسية للأسرة المعيشية مرة واحدة فقط ولكنه دخل  {{data.zcheck_roster_2018_",I92,"}} مرة")</f>
        <v>الفرد 7 كان موجوداً في عام 2012 ويجب أن يدخل في البيانات الأساسية للأسرة المعيشية مرة واحدة فقط ولكنه دخل  {{data.zcheck_roster_2018_7}} مرة</v>
      </c>
      <c r="F93" s="31"/>
      <c r="J93" s="88"/>
      <c r="L93" s="64" t="s">
        <v>22</v>
      </c>
      <c r="M93" s="18"/>
      <c r="O93" s="76" t="str">
        <f>E93</f>
        <v>الفرد 7 كان موجوداً في عام 2012 ويجب أن يدخل في البيانات الأساسية للأسرة المعيشية مرة واحدة فقط ولكنه دخل  {{data.zcheck_roster_2018_7}} مرة</v>
      </c>
      <c r="P93" s="110" t="str">
        <f>B93</f>
        <v>Person 7 from 2012 was still present and should have been entered in the roster once and only was but was entered {{data.zcheck_roster_2018_7}} times</v>
      </c>
      <c r="Q93" s="48"/>
      <c r="R93" s="31"/>
      <c r="S93" s="31"/>
      <c r="V93" s="31"/>
      <c r="Y93" s="100" t="b">
        <v>1</v>
      </c>
      <c r="AB93" s="31"/>
      <c r="AC93" s="31"/>
    </row>
    <row r="94" spans="2:29" s="64" customFormat="1" ht="45" customHeight="1">
      <c r="B94" s="31"/>
      <c r="C94" s="48" t="str">
        <f>CONCATENATE("Constraints: ", X94)</f>
        <v>Constraints: Person 7 from 2012 was still present and should have been entered in the roster once and only was but was entered {{data.zcheck_roster_2018_7}} times</v>
      </c>
      <c r="F94" s="48" t="str">
        <f>CONCATENATE("Constraints: ", W94)</f>
        <v>Constraints: الفرد 7 كان موجوداً في عام 2012 ويجب أن يدخل في البيانات الأساسية للأسرة المعيشية مرة واحدة فقط ولكنه دخل  {{data.zcheck_roster_2018_7}} مرة</v>
      </c>
      <c r="J94" s="88"/>
      <c r="L94" s="434" t="s">
        <v>18</v>
      </c>
      <c r="M94" s="71" t="s">
        <v>1594</v>
      </c>
      <c r="N94" s="64" t="str">
        <f>CONCATENATE("zcheck_5_",I92)</f>
        <v>zcheck_5_7</v>
      </c>
      <c r="O94" s="76"/>
      <c r="P94" s="110"/>
      <c r="Q94" s="48"/>
      <c r="R94" s="31"/>
      <c r="S94" s="31"/>
      <c r="V94" s="31" t="str">
        <f>CONCATENATE("data('valid_overall') == 0 || data('",N37,"') == data('",N38,"')")</f>
        <v>data('valid_overall') == 0 || data('zcheck_roster_2012_7') == data('zcheck_roster_2018_7')</v>
      </c>
      <c r="W94" s="64" t="str">
        <f>E93</f>
        <v>الفرد 7 كان موجوداً في عام 2012 ويجب أن يدخل في البيانات الأساسية للأسرة المعيشية مرة واحدة فقط ولكنه دخل  {{data.zcheck_roster_2018_7}} مرة</v>
      </c>
      <c r="X94" s="64" t="str">
        <f>B93</f>
        <v>Person 7 from 2012 was still present and should have been entered in the roster once and only was but was entered {{data.zcheck_roster_2018_7}} times</v>
      </c>
      <c r="Y94" s="100" t="b">
        <v>1</v>
      </c>
      <c r="AB94" s="31"/>
      <c r="AC94" s="31"/>
    </row>
    <row r="95" spans="2:29" s="64" customFormat="1">
      <c r="B95" s="31"/>
      <c r="C95" s="31"/>
      <c r="F95" s="40"/>
      <c r="J95" s="88" t="s">
        <v>24</v>
      </c>
      <c r="M95" s="18"/>
      <c r="O95" s="76"/>
      <c r="P95" s="110"/>
      <c r="Q95" s="48"/>
      <c r="R95" s="31"/>
      <c r="S95" s="31"/>
      <c r="V95" s="31"/>
      <c r="Y95" s="31"/>
      <c r="AB95" s="31"/>
      <c r="AC95" s="31"/>
    </row>
    <row r="96" spans="2:29" s="64" customFormat="1">
      <c r="B96" s="31"/>
      <c r="C96" s="31"/>
      <c r="F96" s="40"/>
      <c r="I96" s="64">
        <f>I92+1</f>
        <v>8</v>
      </c>
      <c r="J96" s="88" t="s">
        <v>23</v>
      </c>
      <c r="K96" s="64" t="str">
        <f>CONCATENATE("data('zcheck_roster_2012_",I96,"') != data('zcheck_roster_2018_",I96,"')")</f>
        <v>data('zcheck_roster_2012_8') != data('zcheck_roster_2018_8')</v>
      </c>
      <c r="M96" s="18"/>
      <c r="O96" s="76"/>
      <c r="P96" s="110"/>
      <c r="Q96" s="48"/>
      <c r="R96" s="31"/>
      <c r="S96" s="31"/>
      <c r="Y96" s="31"/>
      <c r="AB96" s="31"/>
      <c r="AC96" s="31"/>
    </row>
    <row r="97" spans="2:29" s="64" customFormat="1" ht="225">
      <c r="B97" s="31" t="str">
        <f>CONCATENATE("Person ",I96," from 2012 was still present and should have been entered in the roster once and only was but was entered {{data.zcheck_roster_2018_",I96,"}} times")</f>
        <v>Person 8 from 2012 was still present and should have been entered in the roster once and only was but was entered {{data.zcheck_roster_2018_8}} times</v>
      </c>
      <c r="C97" s="31"/>
      <c r="E97" s="31" t="str">
        <f>CONCATENATE("الفرد ",I96," كان موجوداً في عام 2012 ويجب أن يدخل في البيانات الأساسية للأسرة المعيشية مرة واحدة فقط ولكنه دخل  {{data.zcheck_roster_2018_",I96,"}} مرة")</f>
        <v>الفرد 8 كان موجوداً في عام 2012 ويجب أن يدخل في البيانات الأساسية للأسرة المعيشية مرة واحدة فقط ولكنه دخل  {{data.zcheck_roster_2018_8}} مرة</v>
      </c>
      <c r="F97" s="31"/>
      <c r="J97" s="88"/>
      <c r="L97" s="64" t="s">
        <v>22</v>
      </c>
      <c r="M97" s="18"/>
      <c r="O97" s="76" t="str">
        <f>E97</f>
        <v>الفرد 8 كان موجوداً في عام 2012 ويجب أن يدخل في البيانات الأساسية للأسرة المعيشية مرة واحدة فقط ولكنه دخل  {{data.zcheck_roster_2018_8}} مرة</v>
      </c>
      <c r="P97" s="110" t="str">
        <f>B97</f>
        <v>Person 8 from 2012 was still present and should have been entered in the roster once and only was but was entered {{data.zcheck_roster_2018_8}} times</v>
      </c>
      <c r="Q97" s="48"/>
      <c r="R97" s="31"/>
      <c r="S97" s="31"/>
      <c r="V97" s="31"/>
      <c r="Y97" s="100" t="b">
        <v>1</v>
      </c>
      <c r="AB97" s="31"/>
      <c r="AC97" s="31"/>
    </row>
    <row r="98" spans="2:29" s="64" customFormat="1" ht="45" customHeight="1">
      <c r="B98" s="31"/>
      <c r="C98" s="48" t="str">
        <f>CONCATENATE("Constraints: ", X98)</f>
        <v>Constraints: Person 8 from 2012 was still present and should have been entered in the roster once and only was but was entered {{data.zcheck_roster_2018_8}} times</v>
      </c>
      <c r="F98" s="48" t="str">
        <f>CONCATENATE("Constraints: ", W98)</f>
        <v>Constraints: الفرد 8 كان موجوداً في عام 2012 ويجب أن يدخل في البيانات الأساسية للأسرة المعيشية مرة واحدة فقط ولكنه دخل  {{data.zcheck_roster_2018_8}} مرة</v>
      </c>
      <c r="J98" s="88"/>
      <c r="L98" s="434" t="s">
        <v>18</v>
      </c>
      <c r="M98" s="71" t="s">
        <v>1594</v>
      </c>
      <c r="N98" s="64" t="str">
        <f>CONCATENATE("zcheck_5_",I96)</f>
        <v>zcheck_5_8</v>
      </c>
      <c r="O98" s="76"/>
      <c r="P98" s="110"/>
      <c r="Q98" s="48"/>
      <c r="R98" s="31"/>
      <c r="S98" s="31"/>
      <c r="V98" s="31" t="str">
        <f>CONCATENATE("data('valid_overall') == 0 || data('",N39,"') == data('",N40,"')")</f>
        <v>data('valid_overall') == 0 || data('zcheck_roster_2012_8') == data('zcheck_roster_2018_8')</v>
      </c>
      <c r="W98" s="64" t="str">
        <f>E97</f>
        <v>الفرد 8 كان موجوداً في عام 2012 ويجب أن يدخل في البيانات الأساسية للأسرة المعيشية مرة واحدة فقط ولكنه دخل  {{data.zcheck_roster_2018_8}} مرة</v>
      </c>
      <c r="X98" s="64" t="str">
        <f>B97</f>
        <v>Person 8 from 2012 was still present and should have been entered in the roster once and only was but was entered {{data.zcheck_roster_2018_8}} times</v>
      </c>
      <c r="Y98" s="100" t="b">
        <v>1</v>
      </c>
      <c r="AB98" s="31"/>
      <c r="AC98" s="31"/>
    </row>
    <row r="99" spans="2:29" s="64" customFormat="1">
      <c r="B99" s="31"/>
      <c r="C99" s="31"/>
      <c r="F99" s="40"/>
      <c r="J99" s="88" t="s">
        <v>24</v>
      </c>
      <c r="M99" s="18"/>
      <c r="O99" s="76"/>
      <c r="P99" s="110"/>
      <c r="Q99" s="48"/>
      <c r="R99" s="31"/>
      <c r="S99" s="31"/>
      <c r="V99" s="31"/>
      <c r="Y99" s="31"/>
      <c r="AB99" s="31"/>
      <c r="AC99" s="31"/>
    </row>
    <row r="100" spans="2:29" s="64" customFormat="1">
      <c r="B100" s="31"/>
      <c r="C100" s="31"/>
      <c r="F100" s="40"/>
      <c r="I100" s="64">
        <f>I96+1</f>
        <v>9</v>
      </c>
      <c r="J100" s="88" t="s">
        <v>23</v>
      </c>
      <c r="K100" s="64" t="str">
        <f>CONCATENATE("data('zcheck_roster_2012_",I100,"') != data('zcheck_roster_2018_",I100,"')")</f>
        <v>data('zcheck_roster_2012_9') != data('zcheck_roster_2018_9')</v>
      </c>
      <c r="M100" s="18"/>
      <c r="O100" s="76"/>
      <c r="P100" s="110"/>
      <c r="Q100" s="48"/>
      <c r="R100" s="31"/>
      <c r="S100" s="31"/>
      <c r="Y100" s="31"/>
      <c r="AB100" s="31"/>
      <c r="AC100" s="31"/>
    </row>
    <row r="101" spans="2:29" s="64" customFormat="1" ht="225">
      <c r="B101" s="31" t="str">
        <f>CONCATENATE("Person ",I100," from 2012 was still present and should have been entered in the roster once and only was but was entered {{data.zcheck_roster_2018_",I100,"}} times")</f>
        <v>Person 9 from 2012 was still present and should have been entered in the roster once and only was but was entered {{data.zcheck_roster_2018_9}} times</v>
      </c>
      <c r="C101" s="31"/>
      <c r="E101" s="31" t="str">
        <f>CONCATENATE("الفرد ",I100," كان موجوداً في عام 2012 ويجب أن يدخل في البيانات الأساسية للأسرة المعيشية مرة واحدة فقط ولكنه دخل  {{data.zcheck_roster_2018_",I100,"}} مرة")</f>
        <v>الفرد 9 كان موجوداً في عام 2012 ويجب أن يدخل في البيانات الأساسية للأسرة المعيشية مرة واحدة فقط ولكنه دخل  {{data.zcheck_roster_2018_9}} مرة</v>
      </c>
      <c r="F101" s="31"/>
      <c r="J101" s="88"/>
      <c r="L101" s="64" t="s">
        <v>22</v>
      </c>
      <c r="M101" s="18"/>
      <c r="O101" s="76" t="str">
        <f>E101</f>
        <v>الفرد 9 كان موجوداً في عام 2012 ويجب أن يدخل في البيانات الأساسية للأسرة المعيشية مرة واحدة فقط ولكنه دخل  {{data.zcheck_roster_2018_9}} مرة</v>
      </c>
      <c r="P101" s="110" t="str">
        <f>B101</f>
        <v>Person 9 from 2012 was still present and should have been entered in the roster once and only was but was entered {{data.zcheck_roster_2018_9}} times</v>
      </c>
      <c r="Q101" s="48"/>
      <c r="R101" s="31"/>
      <c r="S101" s="31"/>
      <c r="V101" s="31"/>
      <c r="Y101" s="100" t="b">
        <v>1</v>
      </c>
      <c r="AB101" s="31"/>
      <c r="AC101" s="31"/>
    </row>
    <row r="102" spans="2:29" s="64" customFormat="1" ht="45" customHeight="1">
      <c r="B102" s="31"/>
      <c r="C102" s="48" t="str">
        <f>CONCATENATE("Constraints: ", X102)</f>
        <v>Constraints: Person 9 from 2012 was still present and should have been entered in the roster once and only was but was entered {{data.zcheck_roster_2018_9}} times</v>
      </c>
      <c r="F102" s="48" t="str">
        <f>CONCATENATE("Constraints: ", W102)</f>
        <v>Constraints: الفرد 9 كان موجوداً في عام 2012 ويجب أن يدخل في البيانات الأساسية للأسرة المعيشية مرة واحدة فقط ولكنه دخل  {{data.zcheck_roster_2018_9}} مرة</v>
      </c>
      <c r="J102" s="88"/>
      <c r="L102" s="434" t="s">
        <v>18</v>
      </c>
      <c r="M102" s="71" t="s">
        <v>1594</v>
      </c>
      <c r="N102" s="64" t="str">
        <f>CONCATENATE("zcheck_5_",I100)</f>
        <v>zcheck_5_9</v>
      </c>
      <c r="O102" s="76"/>
      <c r="P102" s="110"/>
      <c r="Q102" s="48"/>
      <c r="R102" s="31"/>
      <c r="S102" s="31"/>
      <c r="V102" s="31" t="str">
        <f>CONCATENATE("data('valid_overall') == 0 || data('",N41,"') == data('",N42,"')")</f>
        <v>data('valid_overall') == 0 || data('zcheck_roster_2012_9') == data('zcheck_roster_2018_9')</v>
      </c>
      <c r="W102" s="64" t="str">
        <f>E101</f>
        <v>الفرد 9 كان موجوداً في عام 2012 ويجب أن يدخل في البيانات الأساسية للأسرة المعيشية مرة واحدة فقط ولكنه دخل  {{data.zcheck_roster_2018_9}} مرة</v>
      </c>
      <c r="X102" s="64" t="str">
        <f>B101</f>
        <v>Person 9 from 2012 was still present and should have been entered in the roster once and only was but was entered {{data.zcheck_roster_2018_9}} times</v>
      </c>
      <c r="Y102" s="100" t="b">
        <v>1</v>
      </c>
      <c r="AB102" s="31"/>
      <c r="AC102" s="31"/>
    </row>
    <row r="103" spans="2:29" s="64" customFormat="1">
      <c r="B103" s="31"/>
      <c r="C103" s="31"/>
      <c r="F103" s="40"/>
      <c r="J103" s="88" t="s">
        <v>24</v>
      </c>
      <c r="M103" s="18"/>
      <c r="O103" s="76"/>
      <c r="P103" s="110"/>
      <c r="Q103" s="48"/>
      <c r="R103" s="31"/>
      <c r="S103" s="31"/>
      <c r="V103" s="31"/>
      <c r="Y103" s="31"/>
      <c r="AB103" s="31"/>
      <c r="AC103" s="31"/>
    </row>
    <row r="104" spans="2:29" s="64" customFormat="1">
      <c r="B104" s="31"/>
      <c r="C104" s="31"/>
      <c r="F104" s="40"/>
      <c r="I104" s="64">
        <f>I100+1</f>
        <v>10</v>
      </c>
      <c r="J104" s="88" t="s">
        <v>23</v>
      </c>
      <c r="K104" s="64" t="str">
        <f>CONCATENATE("data('zcheck_roster_2012_",I104,"') != data('zcheck_roster_2018_",I104,"')")</f>
        <v>data('zcheck_roster_2012_10') != data('zcheck_roster_2018_10')</v>
      </c>
      <c r="M104" s="18"/>
      <c r="O104" s="76"/>
      <c r="P104" s="110"/>
      <c r="Q104" s="48"/>
      <c r="R104" s="31"/>
      <c r="S104" s="31"/>
      <c r="Y104" s="31"/>
      <c r="AB104" s="31"/>
      <c r="AC104" s="31"/>
    </row>
    <row r="105" spans="2:29" s="64" customFormat="1" ht="225">
      <c r="B105" s="31" t="str">
        <f>CONCATENATE("Person ",I104," from 2012 was still present and should have been entered in the roster once and only was but was entered {{data.zcheck_roster_2018_",I104,"}} times")</f>
        <v>Person 10 from 2012 was still present and should have been entered in the roster once and only was but was entered {{data.zcheck_roster_2018_10}} times</v>
      </c>
      <c r="C105" s="31"/>
      <c r="E105" s="31" t="str">
        <f>CONCATENATE("الفرد ",I104," كان موجوداً في عام 2012 ويجب أن يدخل في البيانات الأساسية للأسرة المعيشية مرة واحدة فقط ولكنه دخل  {{data.zcheck_roster_2018_",I104,"}} مرة")</f>
        <v>الفرد 10 كان موجوداً في عام 2012 ويجب أن يدخل في البيانات الأساسية للأسرة المعيشية مرة واحدة فقط ولكنه دخل  {{data.zcheck_roster_2018_10}} مرة</v>
      </c>
      <c r="F105" s="31"/>
      <c r="J105" s="88"/>
      <c r="L105" s="64" t="s">
        <v>22</v>
      </c>
      <c r="M105" s="18"/>
      <c r="O105" s="76" t="str">
        <f>E105</f>
        <v>الفرد 10 كان موجوداً في عام 2012 ويجب أن يدخل في البيانات الأساسية للأسرة المعيشية مرة واحدة فقط ولكنه دخل  {{data.zcheck_roster_2018_10}} مرة</v>
      </c>
      <c r="P105" s="110" t="str">
        <f>B105</f>
        <v>Person 10 from 2012 was still present and should have been entered in the roster once and only was but was entered {{data.zcheck_roster_2018_10}} times</v>
      </c>
      <c r="Q105" s="48"/>
      <c r="R105" s="31"/>
      <c r="S105" s="31"/>
      <c r="V105" s="31"/>
      <c r="Y105" s="100" t="b">
        <v>1</v>
      </c>
      <c r="AB105" s="31"/>
      <c r="AC105" s="31"/>
    </row>
    <row r="106" spans="2:29" s="64" customFormat="1" ht="45" customHeight="1">
      <c r="B106" s="31"/>
      <c r="C106" s="48" t="str">
        <f>CONCATENATE("Constraints: ", X106)</f>
        <v>Constraints: Person 10 from 2012 was still present and should have been entered in the roster once and only was but was entered {{data.zcheck_roster_2018_10}} times</v>
      </c>
      <c r="F106" s="48" t="str">
        <f>CONCATENATE("Constraints: ", W106)</f>
        <v>Constraints: الفرد 10 كان موجوداً في عام 2012 ويجب أن يدخل في البيانات الأساسية للأسرة المعيشية مرة واحدة فقط ولكنه دخل  {{data.zcheck_roster_2018_10}} مرة</v>
      </c>
      <c r="J106" s="88"/>
      <c r="L106" s="434" t="s">
        <v>18</v>
      </c>
      <c r="M106" s="71" t="s">
        <v>1594</v>
      </c>
      <c r="N106" s="64" t="str">
        <f>CONCATENATE("zcheck_5_",I104)</f>
        <v>zcheck_5_10</v>
      </c>
      <c r="O106" s="76"/>
      <c r="P106" s="110"/>
      <c r="Q106" s="48"/>
      <c r="R106" s="31"/>
      <c r="S106" s="31"/>
      <c r="V106" s="31" t="str">
        <f>CONCATENATE("data('valid_overall') == 0 || data('",N43,"') == data('",N44,"')")</f>
        <v>data('valid_overall') == 0 || data('zcheck_roster_2012_10') == data('zcheck_roster_2018_10')</v>
      </c>
      <c r="W106" s="64" t="str">
        <f>E105</f>
        <v>الفرد 10 كان موجوداً في عام 2012 ويجب أن يدخل في البيانات الأساسية للأسرة المعيشية مرة واحدة فقط ولكنه دخل  {{data.zcheck_roster_2018_10}} مرة</v>
      </c>
      <c r="X106" s="64" t="str">
        <f>B105</f>
        <v>Person 10 from 2012 was still present and should have been entered in the roster once and only was but was entered {{data.zcheck_roster_2018_10}} times</v>
      </c>
      <c r="Y106" s="100" t="b">
        <v>1</v>
      </c>
      <c r="AB106" s="31"/>
      <c r="AC106" s="31"/>
    </row>
    <row r="107" spans="2:29" s="64" customFormat="1">
      <c r="B107" s="31"/>
      <c r="C107" s="31"/>
      <c r="F107" s="40"/>
      <c r="J107" s="88" t="s">
        <v>24</v>
      </c>
      <c r="M107" s="18"/>
      <c r="O107" s="76"/>
      <c r="P107" s="110"/>
      <c r="Q107" s="48"/>
      <c r="R107" s="31"/>
      <c r="S107" s="31"/>
      <c r="V107" s="31"/>
      <c r="Y107" s="31"/>
      <c r="AB107" s="31"/>
      <c r="AC107" s="31"/>
    </row>
    <row r="108" spans="2:29" s="64" customFormat="1">
      <c r="B108" s="31"/>
      <c r="C108" s="31"/>
      <c r="F108" s="40"/>
      <c r="I108" s="64">
        <f>I104+1</f>
        <v>11</v>
      </c>
      <c r="J108" s="88" t="s">
        <v>23</v>
      </c>
      <c r="K108" s="64" t="str">
        <f>CONCATENATE("data('zcheck_roster_2012_",I108,"') != data('zcheck_roster_2018_",I108,"')")</f>
        <v>data('zcheck_roster_2012_11') != data('zcheck_roster_2018_11')</v>
      </c>
      <c r="M108" s="18"/>
      <c r="O108" s="76"/>
      <c r="P108" s="110"/>
      <c r="Q108" s="48"/>
      <c r="R108" s="31"/>
      <c r="S108" s="31"/>
      <c r="Y108" s="31"/>
      <c r="AB108" s="31"/>
      <c r="AC108" s="31"/>
    </row>
    <row r="109" spans="2:29" s="64" customFormat="1" ht="225">
      <c r="B109" s="31" t="str">
        <f>CONCATENATE("Person ",I108," from 2012 was still present and should have been entered in the roster once and only was but was entered {{data.zcheck_roster_2018_",I108,"}} times")</f>
        <v>Person 11 from 2012 was still present and should have been entered in the roster once and only was but was entered {{data.zcheck_roster_2018_11}} times</v>
      </c>
      <c r="C109" s="31"/>
      <c r="E109" s="31" t="str">
        <f>CONCATENATE("الفرد ",I108," كان موجوداً في عام 2012 ويجب أن يدخل في البيانات الأساسية للأسرة المعيشية مرة واحدة فقط ولكنه دخل  {{data.zcheck_roster_2018_",I108,"}} مرة")</f>
        <v>الفرد 11 كان موجوداً في عام 2012 ويجب أن يدخل في البيانات الأساسية للأسرة المعيشية مرة واحدة فقط ولكنه دخل  {{data.zcheck_roster_2018_11}} مرة</v>
      </c>
      <c r="F109" s="31"/>
      <c r="J109" s="88"/>
      <c r="L109" s="64" t="s">
        <v>22</v>
      </c>
      <c r="M109" s="18"/>
      <c r="O109" s="76" t="str">
        <f>E109</f>
        <v>الفرد 11 كان موجوداً في عام 2012 ويجب أن يدخل في البيانات الأساسية للأسرة المعيشية مرة واحدة فقط ولكنه دخل  {{data.zcheck_roster_2018_11}} مرة</v>
      </c>
      <c r="P109" s="110" t="str">
        <f>B109</f>
        <v>Person 11 from 2012 was still present and should have been entered in the roster once and only was but was entered {{data.zcheck_roster_2018_11}} times</v>
      </c>
      <c r="Q109" s="48"/>
      <c r="R109" s="31"/>
      <c r="S109" s="31"/>
      <c r="V109" s="31"/>
      <c r="Y109" s="100" t="b">
        <v>1</v>
      </c>
      <c r="AB109" s="31"/>
      <c r="AC109" s="31"/>
    </row>
    <row r="110" spans="2:29" s="64" customFormat="1" ht="45" customHeight="1">
      <c r="B110" s="31"/>
      <c r="C110" s="48" t="str">
        <f>CONCATENATE("Constraints: ", X110)</f>
        <v>Constraints: Person 11 from 2012 was still present and should have been entered in the roster once and only was but was entered {{data.zcheck_roster_2018_11}} times</v>
      </c>
      <c r="F110" s="48" t="str">
        <f>CONCATENATE("Constraints: ", W110)</f>
        <v>Constraints: الفرد 11 كان موجوداً في عام 2012 ويجب أن يدخل في البيانات الأساسية للأسرة المعيشية مرة واحدة فقط ولكنه دخل  {{data.zcheck_roster_2018_11}} مرة</v>
      </c>
      <c r="J110" s="88"/>
      <c r="L110" s="434" t="s">
        <v>18</v>
      </c>
      <c r="M110" s="71" t="s">
        <v>1594</v>
      </c>
      <c r="N110" s="64" t="str">
        <f>CONCATENATE("zcheck_5_",I108)</f>
        <v>zcheck_5_11</v>
      </c>
      <c r="O110" s="76"/>
      <c r="P110" s="110"/>
      <c r="Q110" s="48"/>
      <c r="R110" s="31"/>
      <c r="S110" s="31"/>
      <c r="V110" s="31" t="str">
        <f>CONCATENATE("data('valid_overall') == 0 || data('",N45,"') == data('",N46,"')")</f>
        <v>data('valid_overall') == 0 || data('zcheck_roster_2012_11') == data('zcheck_roster_2018_11')</v>
      </c>
      <c r="W110" s="64" t="str">
        <f>E109</f>
        <v>الفرد 11 كان موجوداً في عام 2012 ويجب أن يدخل في البيانات الأساسية للأسرة المعيشية مرة واحدة فقط ولكنه دخل  {{data.zcheck_roster_2018_11}} مرة</v>
      </c>
      <c r="X110" s="64" t="str">
        <f>B109</f>
        <v>Person 11 from 2012 was still present and should have been entered in the roster once and only was but was entered {{data.zcheck_roster_2018_11}} times</v>
      </c>
      <c r="Y110" s="100" t="b">
        <v>1</v>
      </c>
      <c r="AB110" s="31"/>
      <c r="AC110" s="31"/>
    </row>
    <row r="111" spans="2:29" s="64" customFormat="1">
      <c r="B111" s="31"/>
      <c r="C111" s="31"/>
      <c r="F111" s="40"/>
      <c r="J111" s="88" t="s">
        <v>24</v>
      </c>
      <c r="M111" s="18"/>
      <c r="O111" s="76"/>
      <c r="P111" s="110"/>
      <c r="Q111" s="48"/>
      <c r="R111" s="31"/>
      <c r="S111" s="31"/>
      <c r="V111" s="31"/>
      <c r="Y111" s="31"/>
      <c r="AB111" s="31"/>
      <c r="AC111" s="31"/>
    </row>
    <row r="112" spans="2:29" s="64" customFormat="1">
      <c r="B112" s="31"/>
      <c r="C112" s="31"/>
      <c r="F112" s="40"/>
      <c r="I112" s="64">
        <f>I108+1</f>
        <v>12</v>
      </c>
      <c r="J112" s="88" t="s">
        <v>23</v>
      </c>
      <c r="K112" s="64" t="str">
        <f>CONCATENATE("data('zcheck_roster_2012_",I112,"') != data('zcheck_roster_2018_",I112,"')")</f>
        <v>data('zcheck_roster_2012_12') != data('zcheck_roster_2018_12')</v>
      </c>
      <c r="M112" s="18"/>
      <c r="O112" s="76"/>
      <c r="P112" s="110"/>
      <c r="Q112" s="48"/>
      <c r="R112" s="31"/>
      <c r="S112" s="31"/>
      <c r="Y112" s="31"/>
      <c r="AB112" s="31"/>
      <c r="AC112" s="31"/>
    </row>
    <row r="113" spans="2:29" s="64" customFormat="1" ht="225">
      <c r="B113" s="31" t="str">
        <f>CONCATENATE("Person ",I112," from 2012 was still present and should have been entered in the roster once and only was but was entered {{data.zcheck_roster_2018_",I112,"}} times")</f>
        <v>Person 12 from 2012 was still present and should have been entered in the roster once and only was but was entered {{data.zcheck_roster_2018_12}} times</v>
      </c>
      <c r="C113" s="31"/>
      <c r="E113" s="31" t="str">
        <f>CONCATENATE("الفرد ",I112," كان موجوداً في عام 2012 ويجب أن يدخل في البيانات الأساسية للأسرة المعيشية مرة واحدة فقط ولكنه دخل  {{data.zcheck_roster_2018_",I112,"}} مرة")</f>
        <v>الفرد 12 كان موجوداً في عام 2012 ويجب أن يدخل في البيانات الأساسية للأسرة المعيشية مرة واحدة فقط ولكنه دخل  {{data.zcheck_roster_2018_12}} مرة</v>
      </c>
      <c r="F113" s="31"/>
      <c r="J113" s="88"/>
      <c r="L113" s="64" t="s">
        <v>22</v>
      </c>
      <c r="M113" s="18"/>
      <c r="O113" s="76" t="str">
        <f>E113</f>
        <v>الفرد 12 كان موجوداً في عام 2012 ويجب أن يدخل في البيانات الأساسية للأسرة المعيشية مرة واحدة فقط ولكنه دخل  {{data.zcheck_roster_2018_12}} مرة</v>
      </c>
      <c r="P113" s="110" t="str">
        <f>B113</f>
        <v>Person 12 from 2012 was still present and should have been entered in the roster once and only was but was entered {{data.zcheck_roster_2018_12}} times</v>
      </c>
      <c r="Q113" s="48"/>
      <c r="R113" s="31"/>
      <c r="S113" s="31"/>
      <c r="V113" s="31"/>
      <c r="Y113" s="100" t="b">
        <v>1</v>
      </c>
      <c r="AB113" s="31"/>
      <c r="AC113" s="31"/>
    </row>
    <row r="114" spans="2:29" s="64" customFormat="1" ht="45" customHeight="1">
      <c r="B114" s="31"/>
      <c r="C114" s="48" t="str">
        <f>CONCATENATE("Constraints: ", X114)</f>
        <v>Constraints: Person 12 from 2012 was still present and should have been entered in the roster once and only was but was entered {{data.zcheck_roster_2018_12}} times</v>
      </c>
      <c r="F114" s="48" t="str">
        <f>CONCATENATE("Constraints: ", W114)</f>
        <v>Constraints: الفرد 12 كان موجوداً في عام 2012 ويجب أن يدخل في البيانات الأساسية للأسرة المعيشية مرة واحدة فقط ولكنه دخل  {{data.zcheck_roster_2018_12}} مرة</v>
      </c>
      <c r="J114" s="88"/>
      <c r="L114" s="434" t="s">
        <v>18</v>
      </c>
      <c r="M114" s="71" t="s">
        <v>1594</v>
      </c>
      <c r="N114" s="64" t="str">
        <f>CONCATENATE("zcheck_5_",I112)</f>
        <v>zcheck_5_12</v>
      </c>
      <c r="O114" s="76"/>
      <c r="P114" s="110"/>
      <c r="Q114" s="48"/>
      <c r="R114" s="31"/>
      <c r="S114" s="31"/>
      <c r="V114" s="31" t="str">
        <f>CONCATENATE("data('valid_overall') == 0 || data('",N47,"') == data('",N48,"')")</f>
        <v>data('valid_overall') == 0 || data('zcheck_roster_2012_12') == data('zcheck_roster_2018_12')</v>
      </c>
      <c r="W114" s="64" t="str">
        <f>E113</f>
        <v>الفرد 12 كان موجوداً في عام 2012 ويجب أن يدخل في البيانات الأساسية للأسرة المعيشية مرة واحدة فقط ولكنه دخل  {{data.zcheck_roster_2018_12}} مرة</v>
      </c>
      <c r="X114" s="64" t="str">
        <f>B113</f>
        <v>Person 12 from 2012 was still present and should have been entered in the roster once and only was but was entered {{data.zcheck_roster_2018_12}} times</v>
      </c>
      <c r="Y114" s="100" t="b">
        <v>1</v>
      </c>
      <c r="AB114" s="31"/>
      <c r="AC114" s="31"/>
    </row>
    <row r="115" spans="2:29" s="64" customFormat="1">
      <c r="B115" s="31"/>
      <c r="C115" s="31"/>
      <c r="F115" s="40"/>
      <c r="J115" s="88" t="s">
        <v>24</v>
      </c>
      <c r="M115" s="18"/>
      <c r="O115" s="76"/>
      <c r="P115" s="110"/>
      <c r="Q115" s="48"/>
      <c r="R115" s="31"/>
      <c r="S115" s="31"/>
      <c r="V115" s="31"/>
      <c r="Y115" s="31"/>
      <c r="AB115" s="31"/>
      <c r="AC115" s="31"/>
    </row>
    <row r="116" spans="2:29" s="64" customFormat="1">
      <c r="B116" s="31"/>
      <c r="C116" s="31"/>
      <c r="F116" s="40"/>
      <c r="I116" s="64">
        <f>I112+1</f>
        <v>13</v>
      </c>
      <c r="J116" s="88" t="s">
        <v>23</v>
      </c>
      <c r="K116" s="64" t="str">
        <f>CONCATENATE("data('zcheck_roster_2012_",I116,"') != data('zcheck_roster_2018_",I116,"')")</f>
        <v>data('zcheck_roster_2012_13') != data('zcheck_roster_2018_13')</v>
      </c>
      <c r="M116" s="18"/>
      <c r="O116" s="76"/>
      <c r="P116" s="110"/>
      <c r="Q116" s="48"/>
      <c r="R116" s="31"/>
      <c r="S116" s="31"/>
      <c r="Y116" s="31"/>
      <c r="AB116" s="31"/>
      <c r="AC116" s="31"/>
    </row>
    <row r="117" spans="2:29" s="64" customFormat="1" ht="225">
      <c r="B117" s="31" t="str">
        <f>CONCATENATE("Person ",I116," from 2012 was still present and should have been entered in the roster once and only was but was entered {{data.zcheck_roster_2018_",I116,"}} times")</f>
        <v>Person 13 from 2012 was still present and should have been entered in the roster once and only was but was entered {{data.zcheck_roster_2018_13}} times</v>
      </c>
      <c r="C117" s="31"/>
      <c r="E117" s="31" t="str">
        <f>CONCATENATE("الفرد ",I116," كان موجوداً في عام 2012 ويجب أن يدخل في البيانات الأساسية للأسرة المعيشية مرة واحدة فقط ولكنه دخل  {{data.zcheck_roster_2018_",I116,"}} مرة")</f>
        <v>الفرد 13 كان موجوداً في عام 2012 ويجب أن يدخل في البيانات الأساسية للأسرة المعيشية مرة واحدة فقط ولكنه دخل  {{data.zcheck_roster_2018_13}} مرة</v>
      </c>
      <c r="F117" s="31"/>
      <c r="J117" s="88"/>
      <c r="L117" s="64" t="s">
        <v>22</v>
      </c>
      <c r="M117" s="18"/>
      <c r="O117" s="76" t="str">
        <f>E117</f>
        <v>الفرد 13 كان موجوداً في عام 2012 ويجب أن يدخل في البيانات الأساسية للأسرة المعيشية مرة واحدة فقط ولكنه دخل  {{data.zcheck_roster_2018_13}} مرة</v>
      </c>
      <c r="P117" s="110" t="str">
        <f>B117</f>
        <v>Person 13 from 2012 was still present and should have been entered in the roster once and only was but was entered {{data.zcheck_roster_2018_13}} times</v>
      </c>
      <c r="Q117" s="48"/>
      <c r="R117" s="31"/>
      <c r="S117" s="31"/>
      <c r="V117" s="31"/>
      <c r="Y117" s="100" t="b">
        <v>1</v>
      </c>
      <c r="AB117" s="31"/>
      <c r="AC117" s="31"/>
    </row>
    <row r="118" spans="2:29" s="64" customFormat="1" ht="45" customHeight="1">
      <c r="B118" s="31"/>
      <c r="C118" s="48" t="str">
        <f>CONCATENATE("Constraints: ", X118)</f>
        <v>Constraints: Person 13 from 2012 was still present and should have been entered in the roster once and only was but was entered {{data.zcheck_roster_2018_13}} times</v>
      </c>
      <c r="F118" s="48" t="str">
        <f>CONCATENATE("Constraints: ", W118)</f>
        <v>Constraints: الفرد 13 كان موجوداً في عام 2012 ويجب أن يدخل في البيانات الأساسية للأسرة المعيشية مرة واحدة فقط ولكنه دخل  {{data.zcheck_roster_2018_13}} مرة</v>
      </c>
      <c r="J118" s="88"/>
      <c r="L118" s="434" t="s">
        <v>18</v>
      </c>
      <c r="M118" s="71" t="s">
        <v>1594</v>
      </c>
      <c r="N118" s="64" t="str">
        <f>CONCATENATE("zcheck_5_",I116)</f>
        <v>zcheck_5_13</v>
      </c>
      <c r="O118" s="76"/>
      <c r="P118" s="110"/>
      <c r="Q118" s="48"/>
      <c r="R118" s="31"/>
      <c r="S118" s="31"/>
      <c r="V118" s="31" t="str">
        <f>CONCATENATE("data('valid_overall') == 0 || data('",N49,"') == data('",N50,"')")</f>
        <v>data('valid_overall') == 0 || data('zcheck_roster_2012_13') == data('zcheck_roster_2018_13')</v>
      </c>
      <c r="W118" s="64" t="str">
        <f>E117</f>
        <v>الفرد 13 كان موجوداً في عام 2012 ويجب أن يدخل في البيانات الأساسية للأسرة المعيشية مرة واحدة فقط ولكنه دخل  {{data.zcheck_roster_2018_13}} مرة</v>
      </c>
      <c r="X118" s="64" t="str">
        <f>B117</f>
        <v>Person 13 from 2012 was still present and should have been entered in the roster once and only was but was entered {{data.zcheck_roster_2018_13}} times</v>
      </c>
      <c r="Y118" s="100" t="b">
        <v>1</v>
      </c>
      <c r="AB118" s="31"/>
      <c r="AC118" s="31"/>
    </row>
    <row r="119" spans="2:29" s="64" customFormat="1">
      <c r="B119" s="31"/>
      <c r="C119" s="31"/>
      <c r="F119" s="40"/>
      <c r="J119" s="88" t="s">
        <v>24</v>
      </c>
      <c r="M119" s="18"/>
      <c r="O119" s="76"/>
      <c r="P119" s="110"/>
      <c r="Q119" s="48"/>
      <c r="R119" s="31"/>
      <c r="S119" s="31"/>
      <c r="V119" s="31"/>
      <c r="Y119" s="31"/>
      <c r="AB119" s="31"/>
      <c r="AC119" s="31"/>
    </row>
    <row r="120" spans="2:29" s="64" customFormat="1">
      <c r="B120" s="31"/>
      <c r="C120" s="31"/>
      <c r="F120" s="40"/>
      <c r="I120" s="64">
        <f>I116+1</f>
        <v>14</v>
      </c>
      <c r="J120" s="88" t="s">
        <v>23</v>
      </c>
      <c r="K120" s="64" t="str">
        <f>CONCATENATE("data('zcheck_roster_2012_",I120,"') != data('zcheck_roster_2018_",I120,"')")</f>
        <v>data('zcheck_roster_2012_14') != data('zcheck_roster_2018_14')</v>
      </c>
      <c r="M120" s="18"/>
      <c r="O120" s="76"/>
      <c r="P120" s="110"/>
      <c r="Q120" s="48"/>
      <c r="R120" s="31"/>
      <c r="S120" s="31"/>
      <c r="Y120" s="31"/>
      <c r="AB120" s="31"/>
      <c r="AC120" s="31"/>
    </row>
    <row r="121" spans="2:29" s="64" customFormat="1" ht="225">
      <c r="B121" s="31" t="str">
        <f>CONCATENATE("Person ",I120," from 2012 was still present and should have been entered in the roster once and only was but was entered {{data.zcheck_roster_2018_",I120,"}} times")</f>
        <v>Person 14 from 2012 was still present and should have been entered in the roster once and only was but was entered {{data.zcheck_roster_2018_14}} times</v>
      </c>
      <c r="C121" s="31"/>
      <c r="E121" s="31" t="str">
        <f>CONCATENATE("الفرد ",I120," كان موجوداً في عام 2012 ويجب أن يدخل في البيانات الأساسية للأسرة المعيشية مرة واحدة فقط ولكنه دخل  {{data.zcheck_roster_2018_",I120,"}} مرة")</f>
        <v>الفرد 14 كان موجوداً في عام 2012 ويجب أن يدخل في البيانات الأساسية للأسرة المعيشية مرة واحدة فقط ولكنه دخل  {{data.zcheck_roster_2018_14}} مرة</v>
      </c>
      <c r="F121" s="31"/>
      <c r="J121" s="88"/>
      <c r="L121" s="64" t="s">
        <v>22</v>
      </c>
      <c r="M121" s="18"/>
      <c r="O121" s="76" t="str">
        <f>E121</f>
        <v>الفرد 14 كان موجوداً في عام 2012 ويجب أن يدخل في البيانات الأساسية للأسرة المعيشية مرة واحدة فقط ولكنه دخل  {{data.zcheck_roster_2018_14}} مرة</v>
      </c>
      <c r="P121" s="110" t="str">
        <f>B121</f>
        <v>Person 14 from 2012 was still present and should have been entered in the roster once and only was but was entered {{data.zcheck_roster_2018_14}} times</v>
      </c>
      <c r="Q121" s="48"/>
      <c r="R121" s="31"/>
      <c r="S121" s="31"/>
      <c r="V121" s="31"/>
      <c r="Y121" s="100" t="b">
        <v>1</v>
      </c>
      <c r="AB121" s="31"/>
      <c r="AC121" s="31"/>
    </row>
    <row r="122" spans="2:29" s="64" customFormat="1" ht="45" customHeight="1">
      <c r="B122" s="31"/>
      <c r="C122" s="48" t="str">
        <f>CONCATENATE("Constraints: ", X122)</f>
        <v>Constraints: Person 14 from 2012 was still present and should have been entered in the roster once and only was but was entered {{data.zcheck_roster_2018_14}} times</v>
      </c>
      <c r="F122" s="48" t="str">
        <f>CONCATENATE("Constraints: ", W122)</f>
        <v>Constraints: الفرد 14 كان موجوداً في عام 2012 ويجب أن يدخل في البيانات الأساسية للأسرة المعيشية مرة واحدة فقط ولكنه دخل  {{data.zcheck_roster_2018_14}} مرة</v>
      </c>
      <c r="J122" s="88"/>
      <c r="L122" s="434" t="s">
        <v>18</v>
      </c>
      <c r="M122" s="71" t="s">
        <v>1594</v>
      </c>
      <c r="N122" s="64" t="str">
        <f>CONCATENATE("zcheck_5_",I120)</f>
        <v>zcheck_5_14</v>
      </c>
      <c r="O122" s="76"/>
      <c r="P122" s="110"/>
      <c r="Q122" s="48"/>
      <c r="R122" s="31"/>
      <c r="S122" s="31"/>
      <c r="V122" s="31" t="str">
        <f>CONCATENATE("data('valid_overall') == 0 || data('",N51,"') == data('",N52,"')")</f>
        <v>data('valid_overall') == 0 || data('zcheck_roster_2012_14') == data('zcheck_roster_2018_14')</v>
      </c>
      <c r="W122" s="64" t="str">
        <f>E121</f>
        <v>الفرد 14 كان موجوداً في عام 2012 ويجب أن يدخل في البيانات الأساسية للأسرة المعيشية مرة واحدة فقط ولكنه دخل  {{data.zcheck_roster_2018_14}} مرة</v>
      </c>
      <c r="X122" s="64" t="str">
        <f>B121</f>
        <v>Person 14 from 2012 was still present and should have been entered in the roster once and only was but was entered {{data.zcheck_roster_2018_14}} times</v>
      </c>
      <c r="Y122" s="100" t="b">
        <v>1</v>
      </c>
      <c r="AB122" s="31"/>
      <c r="AC122" s="31"/>
    </row>
    <row r="123" spans="2:29" s="64" customFormat="1">
      <c r="B123" s="31"/>
      <c r="C123" s="31"/>
      <c r="F123" s="40"/>
      <c r="J123" s="88" t="s">
        <v>24</v>
      </c>
      <c r="M123" s="18"/>
      <c r="O123" s="76"/>
      <c r="P123" s="110"/>
      <c r="Q123" s="48"/>
      <c r="R123" s="31"/>
      <c r="S123" s="31"/>
      <c r="V123" s="31"/>
      <c r="Y123" s="31"/>
      <c r="AB123" s="31"/>
      <c r="AC123" s="31"/>
    </row>
    <row r="124" spans="2:29" s="64" customFormat="1">
      <c r="B124" s="31"/>
      <c r="C124" s="31"/>
      <c r="F124" s="40"/>
      <c r="I124" s="64">
        <f>I120+1</f>
        <v>15</v>
      </c>
      <c r="J124" s="88" t="s">
        <v>23</v>
      </c>
      <c r="K124" s="64" t="str">
        <f>CONCATENATE("data('zcheck_roster_2012_",I124,"') != data('zcheck_roster_2018_",I124,"')")</f>
        <v>data('zcheck_roster_2012_15') != data('zcheck_roster_2018_15')</v>
      </c>
      <c r="M124" s="18"/>
      <c r="O124" s="76"/>
      <c r="P124" s="110"/>
      <c r="Q124" s="48"/>
      <c r="R124" s="31"/>
      <c r="S124" s="31"/>
      <c r="Y124" s="31"/>
      <c r="AB124" s="31"/>
      <c r="AC124" s="31"/>
    </row>
    <row r="125" spans="2:29" s="64" customFormat="1" ht="225">
      <c r="B125" s="31" t="str">
        <f>CONCATENATE("Person ",I124," from 2012 was still present and should have been entered in the roster once and only was but was entered {{data.zcheck_roster_2018_",I124,"}} times")</f>
        <v>Person 15 from 2012 was still present and should have been entered in the roster once and only was but was entered {{data.zcheck_roster_2018_15}} times</v>
      </c>
      <c r="C125" s="31"/>
      <c r="E125" s="31" t="str">
        <f>CONCATENATE("الفرد ",I124," كان موجوداً في عام 2012 ويجب أن يدخل في البيانات الأساسية للأسرة المعيشية مرة واحدة فقط ولكنه دخل  {{data.zcheck_roster_2018_",I124,"}} مرة")</f>
        <v>الفرد 15 كان موجوداً في عام 2012 ويجب أن يدخل في البيانات الأساسية للأسرة المعيشية مرة واحدة فقط ولكنه دخل  {{data.zcheck_roster_2018_15}} مرة</v>
      </c>
      <c r="F125" s="31"/>
      <c r="J125" s="88"/>
      <c r="L125" s="64" t="s">
        <v>22</v>
      </c>
      <c r="M125" s="18"/>
      <c r="O125" s="76" t="str">
        <f>E125</f>
        <v>الفرد 15 كان موجوداً في عام 2012 ويجب أن يدخل في البيانات الأساسية للأسرة المعيشية مرة واحدة فقط ولكنه دخل  {{data.zcheck_roster_2018_15}} مرة</v>
      </c>
      <c r="P125" s="110" t="str">
        <f>B125</f>
        <v>Person 15 from 2012 was still present and should have been entered in the roster once and only was but was entered {{data.zcheck_roster_2018_15}} times</v>
      </c>
      <c r="Q125" s="48"/>
      <c r="R125" s="31"/>
      <c r="S125" s="31"/>
      <c r="V125" s="31"/>
      <c r="Y125" s="100" t="b">
        <v>1</v>
      </c>
      <c r="AB125" s="31"/>
      <c r="AC125" s="31"/>
    </row>
    <row r="126" spans="2:29" s="64" customFormat="1" ht="45" customHeight="1">
      <c r="B126" s="31"/>
      <c r="C126" s="48" t="str">
        <f>CONCATENATE("Constraints: ", X126)</f>
        <v>Constraints: Person 15 from 2012 was still present and should have been entered in the roster once and only was but was entered {{data.zcheck_roster_2018_15}} times</v>
      </c>
      <c r="F126" s="48" t="str">
        <f>CONCATENATE("Constraints: ", W126)</f>
        <v>Constraints: الفرد 15 كان موجوداً في عام 2012 ويجب أن يدخل في البيانات الأساسية للأسرة المعيشية مرة واحدة فقط ولكنه دخل  {{data.zcheck_roster_2018_15}} مرة</v>
      </c>
      <c r="J126" s="88"/>
      <c r="L126" s="434" t="s">
        <v>18</v>
      </c>
      <c r="M126" s="71" t="s">
        <v>1594</v>
      </c>
      <c r="N126" s="64" t="str">
        <f>CONCATENATE("zcheck_5_",I124)</f>
        <v>zcheck_5_15</v>
      </c>
      <c r="O126" s="76"/>
      <c r="P126" s="110"/>
      <c r="Q126" s="48"/>
      <c r="R126" s="31"/>
      <c r="S126" s="31"/>
      <c r="V126" s="31" t="str">
        <f>CONCATENATE("data('valid_overall') == 0 || data('",N53,"') == data('",N54,"')")</f>
        <v>data('valid_overall') == 0 || data('zcheck_roster_2012_15') == data('zcheck_roster_2018_15')</v>
      </c>
      <c r="W126" s="64" t="str">
        <f>E125</f>
        <v>الفرد 15 كان موجوداً في عام 2012 ويجب أن يدخل في البيانات الأساسية للأسرة المعيشية مرة واحدة فقط ولكنه دخل  {{data.zcheck_roster_2018_15}} مرة</v>
      </c>
      <c r="X126" s="64" t="str">
        <f>B125</f>
        <v>Person 15 from 2012 was still present and should have been entered in the roster once and only was but was entered {{data.zcheck_roster_2018_15}} times</v>
      </c>
      <c r="Y126" s="100" t="b">
        <v>1</v>
      </c>
      <c r="AB126" s="31"/>
      <c r="AC126" s="31"/>
    </row>
    <row r="127" spans="2:29" s="64" customFormat="1">
      <c r="B127" s="31"/>
      <c r="C127" s="31"/>
      <c r="F127" s="40"/>
      <c r="J127" s="88" t="s">
        <v>24</v>
      </c>
      <c r="M127" s="18"/>
      <c r="O127" s="76"/>
      <c r="P127" s="110"/>
      <c r="Q127" s="48"/>
      <c r="R127" s="31"/>
      <c r="S127" s="31"/>
      <c r="V127" s="31"/>
      <c r="Y127" s="31"/>
      <c r="AB127" s="31"/>
      <c r="AC127" s="31"/>
    </row>
    <row r="128" spans="2:29" s="64" customFormat="1">
      <c r="B128" s="31"/>
      <c r="C128" s="31"/>
      <c r="F128" s="40"/>
      <c r="I128" s="64">
        <f>I124+1</f>
        <v>16</v>
      </c>
      <c r="J128" s="88" t="s">
        <v>23</v>
      </c>
      <c r="K128" s="64" t="str">
        <f>CONCATENATE("data('zcheck_roster_2012_",I128,"') != data('zcheck_roster_2018_",I128,"')")</f>
        <v>data('zcheck_roster_2012_16') != data('zcheck_roster_2018_16')</v>
      </c>
      <c r="M128" s="18"/>
      <c r="O128" s="76"/>
      <c r="P128" s="110"/>
      <c r="Q128" s="48"/>
      <c r="R128" s="31"/>
      <c r="S128" s="31"/>
      <c r="Y128" s="31"/>
      <c r="AB128" s="31"/>
      <c r="AC128" s="31"/>
    </row>
    <row r="129" spans="2:29" s="64" customFormat="1" ht="225">
      <c r="B129" s="31" t="str">
        <f>CONCATENATE("Person ",I128," from 2012 was still present and should have been entered in the roster once and only was but was entered {{data.zcheck_roster_2018_",I128,"}} times")</f>
        <v>Person 16 from 2012 was still present and should have been entered in the roster once and only was but was entered {{data.zcheck_roster_2018_16}} times</v>
      </c>
      <c r="C129" s="31"/>
      <c r="E129" s="31" t="str">
        <f>CONCATENATE("الفرد ",I128," كان موجوداً في عام 2012 ويجب أن يدخل في البيانات الأساسية للأسرة المعيشية مرة واحدة فقط ولكنه دخل  {{data.zcheck_roster_2018_",I128,"}} مرة")</f>
        <v>الفرد 16 كان موجوداً في عام 2012 ويجب أن يدخل في البيانات الأساسية للأسرة المعيشية مرة واحدة فقط ولكنه دخل  {{data.zcheck_roster_2018_16}} مرة</v>
      </c>
      <c r="F129" s="31"/>
      <c r="J129" s="88"/>
      <c r="L129" s="64" t="s">
        <v>22</v>
      </c>
      <c r="M129" s="18"/>
      <c r="O129" s="76" t="str">
        <f>E129</f>
        <v>الفرد 16 كان موجوداً في عام 2012 ويجب أن يدخل في البيانات الأساسية للأسرة المعيشية مرة واحدة فقط ولكنه دخل  {{data.zcheck_roster_2018_16}} مرة</v>
      </c>
      <c r="P129" s="110" t="str">
        <f>B129</f>
        <v>Person 16 from 2012 was still present and should have been entered in the roster once and only was but was entered {{data.zcheck_roster_2018_16}} times</v>
      </c>
      <c r="Q129" s="48"/>
      <c r="R129" s="31"/>
      <c r="S129" s="31"/>
      <c r="V129" s="31"/>
      <c r="Y129" s="100" t="b">
        <v>1</v>
      </c>
      <c r="AB129" s="31"/>
      <c r="AC129" s="31"/>
    </row>
    <row r="130" spans="2:29" s="64" customFormat="1" ht="45" customHeight="1">
      <c r="B130" s="31"/>
      <c r="C130" s="48" t="str">
        <f>CONCATENATE("Constraints: ", X130)</f>
        <v>Constraints: Person 16 from 2012 was still present and should have been entered in the roster once and only was but was entered {{data.zcheck_roster_2018_16}} times</v>
      </c>
      <c r="F130" s="48" t="str">
        <f>CONCATENATE("Constraints: ", W130)</f>
        <v>Constraints: الفرد 16 كان موجوداً في عام 2012 ويجب أن يدخل في البيانات الأساسية للأسرة المعيشية مرة واحدة فقط ولكنه دخل  {{data.zcheck_roster_2018_16}} مرة</v>
      </c>
      <c r="J130" s="88"/>
      <c r="L130" s="434" t="s">
        <v>18</v>
      </c>
      <c r="M130" s="71" t="s">
        <v>1594</v>
      </c>
      <c r="N130" s="64" t="str">
        <f>CONCATENATE("zcheck_5_",I128)</f>
        <v>zcheck_5_16</v>
      </c>
      <c r="O130" s="76"/>
      <c r="P130" s="110"/>
      <c r="Q130" s="48"/>
      <c r="R130" s="31"/>
      <c r="S130" s="31"/>
      <c r="V130" s="31" t="str">
        <f>CONCATENATE("data('valid_overall') == 0 || data('",N55,"') == data('",N56,"')")</f>
        <v>data('valid_overall') == 0 || data('zcheck_roster_2012_16') == data('zcheck_roster_2018_16')</v>
      </c>
      <c r="W130" s="64" t="str">
        <f>E129</f>
        <v>الفرد 16 كان موجوداً في عام 2012 ويجب أن يدخل في البيانات الأساسية للأسرة المعيشية مرة واحدة فقط ولكنه دخل  {{data.zcheck_roster_2018_16}} مرة</v>
      </c>
      <c r="X130" s="64" t="str">
        <f>B129</f>
        <v>Person 16 from 2012 was still present and should have been entered in the roster once and only was but was entered {{data.zcheck_roster_2018_16}} times</v>
      </c>
      <c r="Y130" s="100" t="b">
        <v>1</v>
      </c>
      <c r="AB130" s="31"/>
      <c r="AC130" s="31"/>
    </row>
    <row r="131" spans="2:29" s="64" customFormat="1">
      <c r="B131" s="31"/>
      <c r="C131" s="31"/>
      <c r="F131" s="40"/>
      <c r="J131" s="88" t="s">
        <v>24</v>
      </c>
      <c r="M131" s="18"/>
      <c r="O131" s="76"/>
      <c r="P131" s="110"/>
      <c r="Q131" s="48"/>
      <c r="R131" s="31"/>
      <c r="S131" s="31"/>
      <c r="V131" s="31"/>
      <c r="Y131" s="31"/>
      <c r="AB131" s="31"/>
      <c r="AC131" s="31"/>
    </row>
    <row r="132" spans="2:29" s="64" customFormat="1">
      <c r="B132" s="31"/>
      <c r="C132" s="31"/>
      <c r="F132" s="40"/>
      <c r="I132" s="64">
        <f>I128+1</f>
        <v>17</v>
      </c>
      <c r="J132" s="88" t="s">
        <v>23</v>
      </c>
      <c r="K132" s="64" t="str">
        <f>CONCATENATE("data('zcheck_roster_2012_",I132,"') != data('zcheck_roster_2018_",I132,"')")</f>
        <v>data('zcheck_roster_2012_17') != data('zcheck_roster_2018_17')</v>
      </c>
      <c r="M132" s="18"/>
      <c r="O132" s="76"/>
      <c r="P132" s="110"/>
      <c r="Q132" s="48"/>
      <c r="R132" s="31"/>
      <c r="S132" s="31"/>
      <c r="Y132" s="31"/>
      <c r="AB132" s="31"/>
      <c r="AC132" s="31"/>
    </row>
    <row r="133" spans="2:29" s="64" customFormat="1" ht="225">
      <c r="B133" s="31" t="str">
        <f>CONCATENATE("Person ",I132," from 2012 was still present and should have been entered in the roster once and only was but was entered {{data.zcheck_roster_2018_",I132,"}} times")</f>
        <v>Person 17 from 2012 was still present and should have been entered in the roster once and only was but was entered {{data.zcheck_roster_2018_17}} times</v>
      </c>
      <c r="C133" s="31"/>
      <c r="E133" s="31" t="str">
        <f>CONCATENATE("الفرد ",I132," كان موجوداً في عام 2012 ويجب أن يدخل في البيانات الأساسية للأسرة المعيشية مرة واحدة فقط ولكنه دخل  {{data.zcheck_roster_2018_",I132,"}} مرة")</f>
        <v>الفرد 17 كان موجوداً في عام 2012 ويجب أن يدخل في البيانات الأساسية للأسرة المعيشية مرة واحدة فقط ولكنه دخل  {{data.zcheck_roster_2018_17}} مرة</v>
      </c>
      <c r="F133" s="31"/>
      <c r="J133" s="88"/>
      <c r="L133" s="64" t="s">
        <v>22</v>
      </c>
      <c r="M133" s="18"/>
      <c r="O133" s="76" t="str">
        <f>E133</f>
        <v>الفرد 17 كان موجوداً في عام 2012 ويجب أن يدخل في البيانات الأساسية للأسرة المعيشية مرة واحدة فقط ولكنه دخل  {{data.zcheck_roster_2018_17}} مرة</v>
      </c>
      <c r="P133" s="110" t="str">
        <f>B133</f>
        <v>Person 17 from 2012 was still present and should have been entered in the roster once and only was but was entered {{data.zcheck_roster_2018_17}} times</v>
      </c>
      <c r="Q133" s="48"/>
      <c r="R133" s="31"/>
      <c r="S133" s="31"/>
      <c r="V133" s="31"/>
      <c r="Y133" s="100" t="b">
        <v>1</v>
      </c>
      <c r="AB133" s="31"/>
      <c r="AC133" s="31"/>
    </row>
    <row r="134" spans="2:29" s="64" customFormat="1" ht="45" customHeight="1">
      <c r="B134" s="31"/>
      <c r="C134" s="48" t="str">
        <f>CONCATENATE("Constraints: ", X134)</f>
        <v>Constraints: Person 17 from 2012 was still present and should have been entered in the roster once and only was but was entered {{data.zcheck_roster_2018_17}} times</v>
      </c>
      <c r="F134" s="48" t="str">
        <f>CONCATENATE("Constraints: ", W134)</f>
        <v>Constraints: الفرد 17 كان موجوداً في عام 2012 ويجب أن يدخل في البيانات الأساسية للأسرة المعيشية مرة واحدة فقط ولكنه دخل  {{data.zcheck_roster_2018_17}} مرة</v>
      </c>
      <c r="J134" s="88"/>
      <c r="L134" s="434" t="s">
        <v>18</v>
      </c>
      <c r="M134" s="71" t="s">
        <v>1594</v>
      </c>
      <c r="N134" s="64" t="str">
        <f>CONCATENATE("zcheck_5_",I132)</f>
        <v>zcheck_5_17</v>
      </c>
      <c r="O134" s="76"/>
      <c r="P134" s="110"/>
      <c r="Q134" s="48"/>
      <c r="R134" s="31"/>
      <c r="S134" s="31"/>
      <c r="V134" s="31" t="str">
        <f>CONCATENATE("data('valid_overall') == 0 || data('",N57,"') == data('",N58,"')")</f>
        <v>data('valid_overall') == 0 || data('zcheck_roster_2012_17') == data('zcheck_roster_2018_17')</v>
      </c>
      <c r="W134" s="64" t="str">
        <f>E133</f>
        <v>الفرد 17 كان موجوداً في عام 2012 ويجب أن يدخل في البيانات الأساسية للأسرة المعيشية مرة واحدة فقط ولكنه دخل  {{data.zcheck_roster_2018_17}} مرة</v>
      </c>
      <c r="X134" s="64" t="str">
        <f>B133</f>
        <v>Person 17 from 2012 was still present and should have been entered in the roster once and only was but was entered {{data.zcheck_roster_2018_17}} times</v>
      </c>
      <c r="Y134" s="100" t="b">
        <v>1</v>
      </c>
      <c r="AB134" s="31"/>
      <c r="AC134" s="31"/>
    </row>
    <row r="135" spans="2:29" s="64" customFormat="1">
      <c r="B135" s="31"/>
      <c r="C135" s="31"/>
      <c r="F135" s="40"/>
      <c r="J135" s="88" t="s">
        <v>24</v>
      </c>
      <c r="M135" s="18"/>
      <c r="O135" s="76"/>
      <c r="P135" s="110"/>
      <c r="Q135" s="48"/>
      <c r="R135" s="31"/>
      <c r="S135" s="31"/>
      <c r="V135" s="31"/>
      <c r="Y135" s="31"/>
      <c r="AB135" s="31"/>
      <c r="AC135" s="31"/>
    </row>
    <row r="136" spans="2:29" s="64" customFormat="1">
      <c r="B136" s="31"/>
      <c r="C136" s="31"/>
      <c r="F136" s="40"/>
      <c r="I136" s="64">
        <f>I132+1</f>
        <v>18</v>
      </c>
      <c r="J136" s="88" t="s">
        <v>23</v>
      </c>
      <c r="K136" s="64" t="str">
        <f>CONCATENATE("data('zcheck_roster_2012_",I136,"') != data('zcheck_roster_2018_",I136,"')")</f>
        <v>data('zcheck_roster_2012_18') != data('zcheck_roster_2018_18')</v>
      </c>
      <c r="M136" s="18"/>
      <c r="O136" s="76"/>
      <c r="P136" s="110"/>
      <c r="Q136" s="48"/>
      <c r="R136" s="31"/>
      <c r="S136" s="31"/>
      <c r="Y136" s="31"/>
      <c r="AB136" s="31"/>
      <c r="AC136" s="31"/>
    </row>
    <row r="137" spans="2:29" s="64" customFormat="1" ht="225">
      <c r="B137" s="31" t="str">
        <f>CONCATENATE("Person ",I136," from 2012 was still present and should have been entered in the roster once and only was but was entered {{data.zcheck_roster_2018_",I136,"}} times")</f>
        <v>Person 18 from 2012 was still present and should have been entered in the roster once and only was but was entered {{data.zcheck_roster_2018_18}} times</v>
      </c>
      <c r="C137" s="31"/>
      <c r="E137" s="31" t="str">
        <f>CONCATENATE("الفرد ",I136," كان موجوداً في عام 2012 ويجب أن يدخل في البيانات الأساسية للأسرة المعيشية مرة واحدة فقط ولكنه دخل  {{data.zcheck_roster_2018_",I136,"}} مرة")</f>
        <v>الفرد 18 كان موجوداً في عام 2012 ويجب أن يدخل في البيانات الأساسية للأسرة المعيشية مرة واحدة فقط ولكنه دخل  {{data.zcheck_roster_2018_18}} مرة</v>
      </c>
      <c r="F137" s="31"/>
      <c r="J137" s="88"/>
      <c r="L137" s="64" t="s">
        <v>22</v>
      </c>
      <c r="M137" s="18"/>
      <c r="O137" s="76" t="str">
        <f>E137</f>
        <v>الفرد 18 كان موجوداً في عام 2012 ويجب أن يدخل في البيانات الأساسية للأسرة المعيشية مرة واحدة فقط ولكنه دخل  {{data.zcheck_roster_2018_18}} مرة</v>
      </c>
      <c r="P137" s="110" t="str">
        <f>B137</f>
        <v>Person 18 from 2012 was still present and should have been entered in the roster once and only was but was entered {{data.zcheck_roster_2018_18}} times</v>
      </c>
      <c r="Q137" s="48"/>
      <c r="R137" s="31"/>
      <c r="S137" s="31"/>
      <c r="V137" s="31"/>
      <c r="Y137" s="100" t="b">
        <v>1</v>
      </c>
      <c r="AB137" s="31"/>
      <c r="AC137" s="31"/>
    </row>
    <row r="138" spans="2:29" s="64" customFormat="1" ht="45" customHeight="1">
      <c r="B138" s="31"/>
      <c r="C138" s="48" t="str">
        <f>CONCATENATE("Constraints: ", X138)</f>
        <v>Constraints: Person 18 from 2012 was still present and should have been entered in the roster once and only was but was entered {{data.zcheck_roster_2018_18}} times</v>
      </c>
      <c r="E138" s="31"/>
      <c r="F138" s="48" t="str">
        <f>CONCATENATE("Constraints: ", W138)</f>
        <v>Constraints: الفرد 18 كان موجوداً في عام 2012 ويجب أن يدخل في البيانات الأساسية للأسرة المعيشية مرة واحدة فقط ولكنه دخل  {{data.zcheck_roster_2018_18}} مرة</v>
      </c>
      <c r="J138" s="88"/>
      <c r="L138" s="434" t="s">
        <v>18</v>
      </c>
      <c r="M138" s="71" t="s">
        <v>1594</v>
      </c>
      <c r="N138" s="64" t="str">
        <f>CONCATENATE("zcheck_5_",I136)</f>
        <v>zcheck_5_18</v>
      </c>
      <c r="O138" s="76"/>
      <c r="P138" s="110"/>
      <c r="Q138" s="48"/>
      <c r="R138" s="31"/>
      <c r="S138" s="31"/>
      <c r="V138" s="31" t="str">
        <f>CONCATENATE("data('valid_overall') == 0 || data('",N59,"') == data('",N60,"')")</f>
        <v>data('valid_overall') == 0 || data('zcheck_roster_2012_18') == data('zcheck_roster_2018_18')</v>
      </c>
      <c r="W138" s="64" t="str">
        <f>E137</f>
        <v>الفرد 18 كان موجوداً في عام 2012 ويجب أن يدخل في البيانات الأساسية للأسرة المعيشية مرة واحدة فقط ولكنه دخل  {{data.zcheck_roster_2018_18}} مرة</v>
      </c>
      <c r="X138" s="64" t="str">
        <f>B137</f>
        <v>Person 18 from 2012 was still present and should have been entered in the roster once and only was but was entered {{data.zcheck_roster_2018_18}} times</v>
      </c>
      <c r="Y138" s="100" t="b">
        <v>1</v>
      </c>
      <c r="AB138" s="31"/>
      <c r="AC138" s="31"/>
    </row>
    <row r="139" spans="2:29" s="64" customFormat="1">
      <c r="B139" s="31"/>
      <c r="C139" s="31"/>
      <c r="E139" s="31"/>
      <c r="F139" s="40"/>
      <c r="J139" s="88" t="s">
        <v>24</v>
      </c>
      <c r="M139" s="18"/>
      <c r="O139" s="76"/>
      <c r="P139" s="110"/>
      <c r="Q139" s="48"/>
      <c r="R139" s="31"/>
      <c r="S139" s="31"/>
      <c r="V139" s="31"/>
      <c r="Y139" s="31"/>
      <c r="AB139" s="31"/>
      <c r="AC139" s="31"/>
    </row>
    <row r="140" spans="2:29" s="64" customFormat="1">
      <c r="B140" s="31"/>
      <c r="C140" s="31"/>
      <c r="E140" s="31"/>
      <c r="F140" s="40"/>
      <c r="I140" s="64">
        <f>I136+1</f>
        <v>19</v>
      </c>
      <c r="J140" s="88" t="s">
        <v>23</v>
      </c>
      <c r="K140" s="64" t="str">
        <f>CONCATENATE("data('zcheck_roster_2012_",I140,"') != data('zcheck_roster_2018_",I140,"')")</f>
        <v>data('zcheck_roster_2012_19') != data('zcheck_roster_2018_19')</v>
      </c>
      <c r="M140" s="18"/>
      <c r="O140" s="76"/>
      <c r="P140" s="110"/>
      <c r="Q140" s="48"/>
      <c r="R140" s="31"/>
      <c r="S140" s="31"/>
      <c r="Y140" s="31"/>
      <c r="AB140" s="31"/>
      <c r="AC140" s="31"/>
    </row>
    <row r="141" spans="2:29" s="64" customFormat="1" ht="225">
      <c r="B141" s="31" t="str">
        <f>CONCATENATE("Person ",I140," from 2012 was still present and should have been entered in the roster once and only was but was entered {{data.zcheck_roster_2018_",I140,"}} times")</f>
        <v>Person 19 from 2012 was still present and should have been entered in the roster once and only was but was entered {{data.zcheck_roster_2018_19}} times</v>
      </c>
      <c r="C141" s="31"/>
      <c r="E141" s="31" t="str">
        <f>CONCATENATE("الفرد ",I140," كان موجوداً في عام 2012 ويجب أن يدخل في البيانات الأساسية للأسرة المعيشية مرة واحدة فقط ولكنه دخل  {{data.zcheck_roster_2018_",I140,"}} مرة")</f>
        <v>الفرد 19 كان موجوداً في عام 2012 ويجب أن يدخل في البيانات الأساسية للأسرة المعيشية مرة واحدة فقط ولكنه دخل  {{data.zcheck_roster_2018_19}} مرة</v>
      </c>
      <c r="F141" s="31"/>
      <c r="J141" s="88"/>
      <c r="L141" s="64" t="s">
        <v>22</v>
      </c>
      <c r="M141" s="18"/>
      <c r="O141" s="76" t="str">
        <f>E141</f>
        <v>الفرد 19 كان موجوداً في عام 2012 ويجب أن يدخل في البيانات الأساسية للأسرة المعيشية مرة واحدة فقط ولكنه دخل  {{data.zcheck_roster_2018_19}} مرة</v>
      </c>
      <c r="P141" s="110" t="str">
        <f>B141</f>
        <v>Person 19 from 2012 was still present and should have been entered in the roster once and only was but was entered {{data.zcheck_roster_2018_19}} times</v>
      </c>
      <c r="Q141" s="48"/>
      <c r="R141" s="31"/>
      <c r="S141" s="31"/>
      <c r="V141" s="31"/>
      <c r="Y141" s="100" t="b">
        <v>1</v>
      </c>
      <c r="AB141" s="31"/>
      <c r="AC141" s="31"/>
    </row>
    <row r="142" spans="2:29" s="64" customFormat="1" ht="45" customHeight="1">
      <c r="B142" s="31"/>
      <c r="C142" s="48" t="str">
        <f>CONCATENATE("Constraints: ", X142)</f>
        <v>Constraints: Person 19 from 2012 was still present and should have been entered in the roster once and only was but was entered {{data.zcheck_roster_2018_19}} times</v>
      </c>
      <c r="F142" s="48" t="str">
        <f>CONCATENATE("Constraints: ", W142)</f>
        <v>Constraints: الفرد 19 كان موجوداً في عام 2012 ويجب أن يدخل في البيانات الأساسية للأسرة المعيشية مرة واحدة فقط ولكنه دخل  {{data.zcheck_roster_2018_19}} مرة</v>
      </c>
      <c r="J142" s="88"/>
      <c r="L142" s="434" t="s">
        <v>18</v>
      </c>
      <c r="M142" s="71" t="s">
        <v>1594</v>
      </c>
      <c r="N142" s="64" t="str">
        <f>CONCATENATE("zcheck_5_",I140)</f>
        <v>zcheck_5_19</v>
      </c>
      <c r="O142" s="76"/>
      <c r="P142" s="110"/>
      <c r="Q142" s="48"/>
      <c r="R142" s="31"/>
      <c r="S142" s="31"/>
      <c r="V142" s="31" t="str">
        <f>CONCATENATE("data('valid_overall') == 0 || data('",N61,"') == data('",N62,"')")</f>
        <v>data('valid_overall') == 0 || data('zcheck_roster_2012_19') == data('zcheck_roster_2018_19')</v>
      </c>
      <c r="W142" s="64" t="str">
        <f>E141</f>
        <v>الفرد 19 كان موجوداً في عام 2012 ويجب أن يدخل في البيانات الأساسية للأسرة المعيشية مرة واحدة فقط ولكنه دخل  {{data.zcheck_roster_2018_19}} مرة</v>
      </c>
      <c r="X142" s="64" t="str">
        <f>B141</f>
        <v>Person 19 from 2012 was still present and should have been entered in the roster once and only was but was entered {{data.zcheck_roster_2018_19}} times</v>
      </c>
      <c r="Y142" s="100" t="b">
        <v>1</v>
      </c>
      <c r="AB142" s="31"/>
      <c r="AC142" s="31"/>
    </row>
    <row r="143" spans="2:29" s="64" customFormat="1">
      <c r="B143" s="31"/>
      <c r="C143" s="31"/>
      <c r="F143" s="40"/>
      <c r="J143" s="88" t="s">
        <v>24</v>
      </c>
      <c r="M143" s="18"/>
      <c r="O143" s="76"/>
      <c r="P143" s="110"/>
      <c r="Q143" s="48"/>
      <c r="R143" s="31"/>
      <c r="S143" s="31"/>
      <c r="V143" s="31"/>
      <c r="Y143" s="31"/>
      <c r="AB143" s="31"/>
      <c r="AC143" s="31"/>
    </row>
    <row r="144" spans="2:29" s="64" customFormat="1">
      <c r="B144" s="31"/>
      <c r="C144" s="31"/>
      <c r="F144" s="40"/>
      <c r="I144" s="64">
        <f>I140+1</f>
        <v>20</v>
      </c>
      <c r="J144" s="88" t="s">
        <v>23</v>
      </c>
      <c r="K144" s="64" t="str">
        <f>CONCATENATE("data('zcheck_roster_2012_",I144,"') != data('zcheck_roster_2018_",I144,"')")</f>
        <v>data('zcheck_roster_2012_20') != data('zcheck_roster_2018_20')</v>
      </c>
      <c r="M144" s="18"/>
      <c r="O144" s="76"/>
      <c r="P144" s="110"/>
      <c r="Q144" s="48"/>
      <c r="R144" s="31"/>
      <c r="S144" s="31"/>
      <c r="Y144" s="31"/>
      <c r="AB144" s="31"/>
      <c r="AC144" s="31"/>
    </row>
    <row r="145" spans="1:29" s="64" customFormat="1" ht="225">
      <c r="B145" s="31" t="str">
        <f>CONCATENATE("Person ",I144," from 2012 was still present and should have been entered in the roster once and only was but was entered {{data.zcheck_roster_2018_",I144,"}} times")</f>
        <v>Person 20 from 2012 was still present and should have been entered in the roster once and only was but was entered {{data.zcheck_roster_2018_20}} times</v>
      </c>
      <c r="C145" s="31"/>
      <c r="E145" s="31" t="str">
        <f>CONCATENATE("الفرد ",I144," كان موجوداً في عام 2012 ويجب أن يدخل في البيانات الأساسية للأسرة المعيشية مرة واحدة فقط ولكنه دخل  {{data.zcheck_roster_2018_",I144,"}} مرة")</f>
        <v>الفرد 20 كان موجوداً في عام 2012 ويجب أن يدخل في البيانات الأساسية للأسرة المعيشية مرة واحدة فقط ولكنه دخل  {{data.zcheck_roster_2018_20}} مرة</v>
      </c>
      <c r="F145" s="31"/>
      <c r="J145" s="88"/>
      <c r="L145" s="64" t="s">
        <v>22</v>
      </c>
      <c r="M145" s="18"/>
      <c r="O145" s="76" t="str">
        <f>E145</f>
        <v>الفرد 20 كان موجوداً في عام 2012 ويجب أن يدخل في البيانات الأساسية للأسرة المعيشية مرة واحدة فقط ولكنه دخل  {{data.zcheck_roster_2018_20}} مرة</v>
      </c>
      <c r="P145" s="110" t="str">
        <f>B145</f>
        <v>Person 20 from 2012 was still present and should have been entered in the roster once and only was but was entered {{data.zcheck_roster_2018_20}} times</v>
      </c>
      <c r="Q145" s="48"/>
      <c r="R145" s="31"/>
      <c r="S145" s="31"/>
      <c r="V145" s="31"/>
      <c r="Y145" s="100" t="b">
        <v>1</v>
      </c>
      <c r="AB145" s="31"/>
      <c r="AC145" s="31"/>
    </row>
    <row r="146" spans="1:29" s="64" customFormat="1" ht="45" customHeight="1">
      <c r="B146" s="31"/>
      <c r="C146" s="48" t="str">
        <f>CONCATENATE("Constraints: ", X146)</f>
        <v>Constraints: Person 20 from 2012 was still present and should have been entered in the roster once and only was but was entered {{data.zcheck_roster_2018_20}} times</v>
      </c>
      <c r="F146" s="48" t="str">
        <f>CONCATENATE("Constraints: ", W146)</f>
        <v>Constraints: الفرد 20 كان موجوداً في عام 2012 ويجب أن يدخل في البيانات الأساسية للأسرة المعيشية مرة واحدة فقط ولكنه دخل  {{data.zcheck_roster_2018_20}} مرة</v>
      </c>
      <c r="J146" s="88"/>
      <c r="L146" s="434" t="s">
        <v>18</v>
      </c>
      <c r="M146" s="71" t="s">
        <v>1594</v>
      </c>
      <c r="N146" s="64" t="str">
        <f>CONCATENATE("zcheck_5_",I144)</f>
        <v>zcheck_5_20</v>
      </c>
      <c r="O146" s="76"/>
      <c r="P146" s="110"/>
      <c r="Q146" s="48"/>
      <c r="R146" s="31"/>
      <c r="S146" s="31"/>
      <c r="V146" s="31" t="str">
        <f>CONCATENATE("data('valid_overall') == 0 || data('",N63,"') == data('",N64,"')")</f>
        <v>data('valid_overall') == 0 || data('zcheck_roster_2012_20') == data('zcheck_roster_2018_20')</v>
      </c>
      <c r="W146" s="64" t="str">
        <f>E145</f>
        <v>الفرد 20 كان موجوداً في عام 2012 ويجب أن يدخل في البيانات الأساسية للأسرة المعيشية مرة واحدة فقط ولكنه دخل  {{data.zcheck_roster_2018_20}} مرة</v>
      </c>
      <c r="X146" s="64" t="str">
        <f>B145</f>
        <v>Person 20 from 2012 was still present and should have been entered in the roster once and only was but was entered {{data.zcheck_roster_2018_20}} times</v>
      </c>
      <c r="Y146" s="100" t="b">
        <v>1</v>
      </c>
      <c r="AB146" s="31"/>
      <c r="AC146" s="31"/>
    </row>
    <row r="147" spans="1:29" s="64" customFormat="1">
      <c r="B147" s="31"/>
      <c r="C147" s="31"/>
      <c r="F147" s="40"/>
      <c r="J147" s="88" t="s">
        <v>24</v>
      </c>
      <c r="M147" s="18"/>
      <c r="O147" s="76"/>
      <c r="P147" s="110"/>
      <c r="Q147" s="48"/>
      <c r="R147" s="31"/>
      <c r="S147" s="31"/>
      <c r="V147" s="31"/>
      <c r="Y147" s="31"/>
      <c r="AB147" s="31"/>
      <c r="AC147" s="31"/>
    </row>
    <row r="148" spans="1:29" s="64" customFormat="1">
      <c r="B148" s="31"/>
      <c r="C148" s="31"/>
      <c r="F148" s="40"/>
      <c r="I148" s="64">
        <f>I144+1</f>
        <v>21</v>
      </c>
      <c r="J148" s="88" t="s">
        <v>23</v>
      </c>
      <c r="K148" s="64" t="str">
        <f>CONCATENATE("data('zcheck_roster_2012_",I148,"') != data('zcheck_roster_2018_",I148,"')")</f>
        <v>data('zcheck_roster_2012_21') != data('zcheck_roster_2018_21')</v>
      </c>
      <c r="M148" s="18"/>
      <c r="O148" s="76"/>
      <c r="P148" s="110"/>
      <c r="Q148" s="48"/>
      <c r="R148" s="31"/>
      <c r="S148" s="31"/>
      <c r="Y148" s="31"/>
      <c r="AB148" s="31"/>
      <c r="AC148" s="31"/>
    </row>
    <row r="149" spans="1:29" s="64" customFormat="1" ht="225">
      <c r="B149" s="31" t="str">
        <f>CONCATENATE("Person ",I148," from 2012 was still present and should have been entered in the roster once and only was but was entered {{data.zcheck_roster_2018_",I148,"}} times")</f>
        <v>Person 21 from 2012 was still present and should have been entered in the roster once and only was but was entered {{data.zcheck_roster_2018_21}} times</v>
      </c>
      <c r="C149" s="31"/>
      <c r="E149" s="31" t="str">
        <f>CONCATENATE("الفرد ",I148," كان موجوداً في عام 2012 ويجب أن يدخل في البيانات الأساسية للأسرة المعيشية مرة واحدة فقط ولكنه دخل  {{data.zcheck_roster_2018_",I148,"}} مرة")</f>
        <v>الفرد 21 كان موجوداً في عام 2012 ويجب أن يدخل في البيانات الأساسية للأسرة المعيشية مرة واحدة فقط ولكنه دخل  {{data.zcheck_roster_2018_21}} مرة</v>
      </c>
      <c r="F149" s="31"/>
      <c r="J149" s="88"/>
      <c r="L149" s="64" t="s">
        <v>22</v>
      </c>
      <c r="M149" s="18"/>
      <c r="O149" s="76" t="str">
        <f>E149</f>
        <v>الفرد 21 كان موجوداً في عام 2012 ويجب أن يدخل في البيانات الأساسية للأسرة المعيشية مرة واحدة فقط ولكنه دخل  {{data.zcheck_roster_2018_21}} مرة</v>
      </c>
      <c r="P149" s="110" t="str">
        <f>B149</f>
        <v>Person 21 from 2012 was still present and should have been entered in the roster once and only was but was entered {{data.zcheck_roster_2018_21}} times</v>
      </c>
      <c r="Q149" s="48"/>
      <c r="R149" s="31"/>
      <c r="S149" s="31"/>
      <c r="V149" s="31"/>
      <c r="Y149" s="100" t="b">
        <v>1</v>
      </c>
      <c r="AB149" s="31"/>
      <c r="AC149" s="31"/>
    </row>
    <row r="150" spans="1:29" s="64" customFormat="1" ht="45" customHeight="1">
      <c r="B150" s="31"/>
      <c r="C150" s="48" t="str">
        <f>CONCATENATE("Constraints: ", X150)</f>
        <v>Constraints: Person 21 from 2012 was still present and should have been entered in the roster once and only was but was entered {{data.zcheck_roster_2018_21}} times</v>
      </c>
      <c r="F150" s="48" t="str">
        <f>CONCATENATE("Constraints: ", W150)</f>
        <v>Constraints: الفرد 21 كان موجوداً في عام 2012 ويجب أن يدخل في البيانات الأساسية للأسرة المعيشية مرة واحدة فقط ولكنه دخل  {{data.zcheck_roster_2018_21}} مرة</v>
      </c>
      <c r="J150" s="88"/>
      <c r="L150" s="434" t="s">
        <v>18</v>
      </c>
      <c r="M150" s="71" t="s">
        <v>1594</v>
      </c>
      <c r="N150" s="64" t="str">
        <f>CONCATENATE("zcheck_5_",I148)</f>
        <v>zcheck_5_21</v>
      </c>
      <c r="O150" s="76"/>
      <c r="P150" s="110"/>
      <c r="Q150" s="48"/>
      <c r="R150" s="31"/>
      <c r="S150" s="31"/>
      <c r="V150" s="31" t="str">
        <f>CONCATENATE("data('valid_overall') == 0 || data('",N65,"') == data('",N66,"')")</f>
        <v>data('valid_overall') == 0 || data('zcheck_roster_2012_21') == data('zcheck_roster_2018_21')</v>
      </c>
      <c r="W150" s="64" t="str">
        <f>E149</f>
        <v>الفرد 21 كان موجوداً في عام 2012 ويجب أن يدخل في البيانات الأساسية للأسرة المعيشية مرة واحدة فقط ولكنه دخل  {{data.zcheck_roster_2018_21}} مرة</v>
      </c>
      <c r="X150" s="64" t="str">
        <f>B149</f>
        <v>Person 21 from 2012 was still present and should have been entered in the roster once and only was but was entered {{data.zcheck_roster_2018_21}} times</v>
      </c>
      <c r="Y150" s="100" t="b">
        <v>1</v>
      </c>
      <c r="AB150" s="31"/>
      <c r="AC150" s="31"/>
    </row>
    <row r="151" spans="1:29" s="64" customFormat="1">
      <c r="B151" s="31"/>
      <c r="C151" s="31"/>
      <c r="F151" s="40"/>
      <c r="J151" s="88" t="s">
        <v>24</v>
      </c>
      <c r="M151" s="18"/>
      <c r="O151" s="76"/>
      <c r="P151" s="110"/>
      <c r="Q151" s="48"/>
      <c r="R151" s="31"/>
      <c r="S151" s="31"/>
      <c r="V151" s="31"/>
      <c r="Y151" s="31"/>
      <c r="AB151" s="31"/>
      <c r="AC151" s="31"/>
    </row>
    <row r="152" spans="1:29" s="64" customFormat="1" ht="21" customHeight="1">
      <c r="B152" s="31"/>
      <c r="C152" s="31"/>
      <c r="F152" s="40"/>
      <c r="J152" s="88"/>
      <c r="M152" s="18"/>
      <c r="O152" s="76"/>
      <c r="P152" s="110"/>
      <c r="Q152" s="48"/>
      <c r="R152" s="31"/>
      <c r="S152" s="31"/>
      <c r="V152" s="31"/>
      <c r="Y152" s="31"/>
      <c r="AB152" s="31"/>
      <c r="AC152" s="31"/>
    </row>
    <row r="153" spans="1:29" s="64" customFormat="1">
      <c r="B153" s="31"/>
      <c r="C153" s="31"/>
      <c r="F153" s="40"/>
      <c r="J153" s="88"/>
      <c r="M153" s="18"/>
      <c r="O153" s="76"/>
      <c r="P153" s="110"/>
      <c r="Q153" s="48"/>
      <c r="R153" s="31"/>
      <c r="S153" s="31"/>
      <c r="V153" s="31"/>
      <c r="Y153" s="31"/>
      <c r="AB153" s="31"/>
      <c r="AC153" s="31"/>
    </row>
    <row r="154" spans="1:29" s="64" customFormat="1">
      <c r="B154" s="31"/>
      <c r="C154" s="31"/>
      <c r="F154" s="40"/>
      <c r="J154" s="88"/>
      <c r="M154" s="18"/>
      <c r="O154" s="76"/>
      <c r="P154" s="110"/>
      <c r="Q154" s="48"/>
      <c r="R154" s="31"/>
      <c r="S154" s="31"/>
      <c r="V154" s="31"/>
      <c r="Y154" s="31"/>
      <c r="AB154" s="31"/>
      <c r="AC154" s="31"/>
    </row>
    <row r="155" spans="1:29" s="64" customFormat="1">
      <c r="B155" s="31"/>
      <c r="C155" s="31"/>
      <c r="F155" s="40"/>
      <c r="J155" s="64" t="s">
        <v>21</v>
      </c>
      <c r="M155" s="18"/>
      <c r="O155" s="76"/>
      <c r="P155" s="110"/>
      <c r="Q155" s="48"/>
      <c r="R155" s="31"/>
      <c r="S155" s="31"/>
      <c r="V155" s="31"/>
      <c r="Y155" s="31"/>
      <c r="AB155" s="31"/>
      <c r="AC155" s="31"/>
    </row>
    <row r="156" spans="1:29" s="64" customFormat="1">
      <c r="B156" s="31"/>
      <c r="C156" s="31"/>
      <c r="F156" s="40"/>
      <c r="M156" s="18"/>
      <c r="O156" s="76"/>
      <c r="P156" s="110"/>
      <c r="Q156" s="48"/>
      <c r="R156" s="31"/>
      <c r="S156" s="31"/>
      <c r="V156" s="31"/>
      <c r="Y156" s="31"/>
      <c r="AB156" s="31"/>
      <c r="AC156" s="31"/>
    </row>
    <row r="157" spans="1:29" s="1" customFormat="1" ht="45">
      <c r="A157" s="64"/>
      <c r="B157" s="29" t="s">
        <v>347</v>
      </c>
      <c r="C157" s="29"/>
      <c r="D157" s="29"/>
      <c r="E157" s="325" t="s">
        <v>1278</v>
      </c>
      <c r="F157" s="30"/>
      <c r="G157" s="46"/>
      <c r="H157" s="46"/>
      <c r="I157" s="46"/>
      <c r="L157" s="1" t="s">
        <v>60</v>
      </c>
      <c r="M157" s="3" t="s">
        <v>146</v>
      </c>
      <c r="O157" s="46" t="str">
        <f>E157</f>
        <v>تعديل بيانات الأفراد</v>
      </c>
      <c r="P157" s="29" t="str">
        <f>B157</f>
        <v>Edit members information</v>
      </c>
      <c r="Q157" s="86"/>
      <c r="R157" s="28"/>
      <c r="S157" s="28"/>
      <c r="V157" s="28"/>
      <c r="Y157" s="100" t="b">
        <v>1</v>
      </c>
      <c r="Z157" s="1" t="b">
        <v>1</v>
      </c>
      <c r="AA157" s="1" t="b">
        <v>1</v>
      </c>
      <c r="AB157" s="31"/>
      <c r="AC157" s="28"/>
    </row>
    <row r="158" spans="1:29" s="1" customFormat="1">
      <c r="A158" s="64"/>
      <c r="B158" s="29"/>
      <c r="C158" s="29"/>
      <c r="E158" s="325"/>
      <c r="F158" s="30"/>
      <c r="G158" s="46"/>
      <c r="H158" s="46"/>
      <c r="I158" s="46"/>
      <c r="J158" s="1" t="s">
        <v>20</v>
      </c>
      <c r="M158" s="3"/>
      <c r="O158" s="46"/>
      <c r="P158" s="29"/>
      <c r="Q158" s="86"/>
      <c r="R158" s="28"/>
      <c r="S158" s="28"/>
      <c r="V158" s="28"/>
      <c r="Y158" s="100"/>
      <c r="AB158" s="31"/>
      <c r="AC158" s="28"/>
    </row>
    <row r="159" spans="1:29" s="64" customFormat="1" ht="45">
      <c r="B159" s="31"/>
      <c r="C159" s="31"/>
      <c r="F159" s="30"/>
      <c r="L159" s="63" t="s">
        <v>376</v>
      </c>
      <c r="M159" s="30" t="s">
        <v>415</v>
      </c>
      <c r="N159" s="30" t="s">
        <v>417</v>
      </c>
      <c r="O159" s="30"/>
      <c r="P159" s="30"/>
      <c r="Q159" s="48"/>
      <c r="R159" s="31"/>
      <c r="S159" s="31"/>
      <c r="V159" s="31"/>
      <c r="Y159" s="31" t="b">
        <v>1</v>
      </c>
      <c r="AB159" s="31"/>
      <c r="AC159" s="31"/>
    </row>
    <row r="160" spans="1:29" s="64" customFormat="1" ht="45">
      <c r="B160" s="31"/>
      <c r="C160" s="31"/>
      <c r="F160" s="40"/>
      <c r="L160" s="63" t="s">
        <v>376</v>
      </c>
      <c r="M160" s="30" t="s">
        <v>416</v>
      </c>
      <c r="N160" s="30" t="s">
        <v>418</v>
      </c>
      <c r="O160" s="30"/>
      <c r="P160" s="30"/>
      <c r="Q160" s="48"/>
      <c r="R160" s="31"/>
      <c r="S160" s="31"/>
      <c r="V160" s="31"/>
      <c r="Y160" s="31" t="b">
        <v>1</v>
      </c>
      <c r="AB160" s="31"/>
      <c r="AC160" s="31"/>
    </row>
    <row r="161" spans="1:29" s="64" customFormat="1">
      <c r="B161" s="31"/>
      <c r="C161" s="31"/>
      <c r="F161" s="40"/>
      <c r="L161" s="63"/>
      <c r="M161" s="30"/>
      <c r="N161" s="30"/>
      <c r="O161" s="30"/>
      <c r="P161" s="30"/>
      <c r="Q161" s="48"/>
      <c r="R161" s="31"/>
      <c r="S161" s="31"/>
      <c r="V161" s="31"/>
      <c r="Y161" s="31"/>
      <c r="AB161" s="31"/>
      <c r="AC161" s="31"/>
    </row>
    <row r="162" spans="1:29" s="30" customFormat="1" ht="150">
      <c r="B162" s="30" t="str">
        <f>CONCATENATE("There were {{data.",$N$6,"}} individuals in 2018 and you have started updating {{data.",N159,"}} individuals")</f>
        <v>There were {{data.q300}} individuals in 2018 and you have started updating {{data.zcheck_roster_2018_update_1}} individuals</v>
      </c>
      <c r="E162" s="30" t="str">
        <f>CONCATENATE("بلغ عدد الأفراد في عام 2018:  {{data.",$N$6,"}} ولقد بدأت في تحديث بيانات {{data.",N159,"}} من الأفراد")</f>
        <v>بلغ عدد الأفراد في عام 2018:  {{data.q300}} ولقد بدأت في تحديث بيانات {{data.zcheck_roster_2018_update_1}} من الأفراد</v>
      </c>
      <c r="J162" s="2"/>
      <c r="L162" s="30" t="s">
        <v>22</v>
      </c>
      <c r="M162" s="2"/>
      <c r="O162" s="30" t="str">
        <f>E162</f>
        <v>بلغ عدد الأفراد في عام 2018:  {{data.q300}} ولقد بدأت في تحديث بيانات {{data.zcheck_roster_2018_update_1}} من الأفراد</v>
      </c>
      <c r="P162" s="30" t="str">
        <f>E162</f>
        <v>بلغ عدد الأفراد في عام 2018:  {{data.q300}} ولقد بدأت في تحديث بيانات {{data.zcheck_roster_2018_update_1}} من الأفراد</v>
      </c>
      <c r="Q162" s="70"/>
      <c r="S162" s="99"/>
      <c r="Y162" s="31" t="b">
        <v>1</v>
      </c>
    </row>
    <row r="163" spans="1:29" s="30" customFormat="1" ht="90">
      <c r="B163" s="30" t="s">
        <v>392</v>
      </c>
      <c r="C163" s="48" t="str">
        <f>CONCATENATE("Constraints: ", X163)</f>
        <v>Constraints: Need to finalize all individuals from 2018 before continuing</v>
      </c>
      <c r="E163" s="30" t="s">
        <v>1086</v>
      </c>
      <c r="F163" s="48" t="str">
        <f>CONCATENATE("Constraints: ", W163)</f>
        <v>Constraints: يلزم الانتهاء من جميع أفراد الأسرة في عام 2018 قبل المتابعة</v>
      </c>
      <c r="J163" s="2"/>
      <c r="L163" s="434" t="s">
        <v>18</v>
      </c>
      <c r="M163" s="71" t="s">
        <v>1594</v>
      </c>
      <c r="N163" s="30" t="s">
        <v>410</v>
      </c>
      <c r="Q163" s="70"/>
      <c r="S163" s="99" t="s">
        <v>407</v>
      </c>
      <c r="V163" s="30" t="str">
        <f>CONCATENATE("data('valid_overall') == 0 ||", P412," (data('",N6,"') === data('",N159,"'))")</f>
        <v>data('valid_overall') == 0 || (data('q300') === data('zcheck_roster_2018_update_1'))</v>
      </c>
      <c r="W163" s="30" t="str">
        <f>E163</f>
        <v>يلزم الانتهاء من جميع أفراد الأسرة في عام 2018 قبل المتابعة</v>
      </c>
      <c r="X163" s="30" t="str">
        <f>B163</f>
        <v>Need to finalize all individuals from 2018 before continuing</v>
      </c>
      <c r="Y163" s="31" t="b">
        <v>1</v>
      </c>
    </row>
    <row r="164" spans="1:29" s="30" customFormat="1">
      <c r="F164" s="155"/>
      <c r="J164" s="2" t="s">
        <v>21</v>
      </c>
      <c r="M164" s="2"/>
      <c r="Q164" s="70"/>
      <c r="S164" s="99"/>
      <c r="Y164" s="31"/>
    </row>
    <row r="165" spans="1:29" s="30" customFormat="1">
      <c r="F165" s="155"/>
      <c r="J165" s="30" t="s">
        <v>20</v>
      </c>
      <c r="M165" s="2"/>
      <c r="Q165" s="70"/>
      <c r="S165" s="99"/>
      <c r="Y165" s="31"/>
    </row>
    <row r="166" spans="1:29" s="1" customFormat="1" ht="150">
      <c r="A166" s="64"/>
      <c r="B166" s="2" t="str">
        <f>CONCATENATE("There were {{data.",$N$6,"}} individuals in 2018 and you have completed {{data.",N160,"}} individuals")</f>
        <v>There were {{data.q300}} individuals in 2018 and you have completed {{data.zcheck_roster_2018_update_2}} individuals</v>
      </c>
      <c r="C166" s="2"/>
      <c r="D166" s="30"/>
      <c r="E166" s="30" t="str">
        <f>CONCATENATE("بلغ عدد الأفراد في عام 2018:  {{data.",$N$6,"}} ولقد انتهيت من تحديث بيانات {{data.",N160,"}} من الأفراد")</f>
        <v>بلغ عدد الأفراد في عام 2018:  {{data.q300}} ولقد انتهيت من تحديث بيانات {{data.zcheck_roster_2018_update_2}} من الأفراد</v>
      </c>
      <c r="F166" s="30"/>
      <c r="G166" s="46"/>
      <c r="H166" s="46"/>
      <c r="I166" s="46"/>
      <c r="L166" s="30" t="s">
        <v>22</v>
      </c>
      <c r="M166" s="3"/>
      <c r="O166" s="30" t="str">
        <f>E166</f>
        <v>بلغ عدد الأفراد في عام 2018:  {{data.q300}} ولقد انتهيت من تحديث بيانات {{data.zcheck_roster_2018_update_2}} من الأفراد</v>
      </c>
      <c r="P166" s="30" t="str">
        <f>E166</f>
        <v>بلغ عدد الأفراد في عام 2018:  {{data.q300}} ولقد انتهيت من تحديث بيانات {{data.zcheck_roster_2018_update_2}} من الأفراد</v>
      </c>
      <c r="Q166" s="86"/>
      <c r="R166" s="28"/>
      <c r="S166" s="28"/>
      <c r="V166" s="28"/>
      <c r="Y166" s="31" t="b">
        <v>1</v>
      </c>
      <c r="AB166" s="31"/>
      <c r="AC166" s="28"/>
    </row>
    <row r="167" spans="1:29" s="1" customFormat="1" ht="120">
      <c r="A167" s="64"/>
      <c r="B167" s="2" t="s">
        <v>392</v>
      </c>
      <c r="C167" s="48" t="str">
        <f>CONCATENATE("Constraints: ", X167)</f>
        <v>Constraints: Need to finalize all individuals from 2018 before continuing</v>
      </c>
      <c r="D167" s="30"/>
      <c r="E167" s="30" t="s">
        <v>1086</v>
      </c>
      <c r="F167" s="48" t="str">
        <f>CONCATENATE("Constraints: ", W167)</f>
        <v>Constraints: يلزم الانتهاء من جميع أفراد الأسرة في عام 2018 قبل المتابعة</v>
      </c>
      <c r="G167" s="46"/>
      <c r="H167" s="46"/>
      <c r="I167" s="46"/>
      <c r="L167" s="434" t="s">
        <v>18</v>
      </c>
      <c r="M167" s="71" t="s">
        <v>1594</v>
      </c>
      <c r="N167" s="30" t="s">
        <v>419</v>
      </c>
      <c r="O167" s="46"/>
      <c r="P167" s="29"/>
      <c r="Q167" s="86"/>
      <c r="R167" s="28"/>
      <c r="S167" s="99" t="s">
        <v>407</v>
      </c>
      <c r="V167" s="30" t="str">
        <f>CONCATENATE("data('valid_overall') == 0 ||", P415," (data('",N6,"') === data('",N160,"'))")</f>
        <v>data('valid_overall') == 0 || (data('q300') === data('zcheck_roster_2018_update_2'))</v>
      </c>
      <c r="W167" s="30" t="str">
        <f>E167</f>
        <v>يلزم الانتهاء من جميع أفراد الأسرة في عام 2018 قبل المتابعة</v>
      </c>
      <c r="X167" s="30" t="str">
        <f>B167</f>
        <v>Need to finalize all individuals from 2018 before continuing</v>
      </c>
      <c r="Y167" s="31" t="b">
        <v>1</v>
      </c>
      <c r="AB167" s="31"/>
      <c r="AC167" s="28"/>
    </row>
    <row r="168" spans="1:29" s="1" customFormat="1">
      <c r="A168" s="64"/>
      <c r="B168" s="29"/>
      <c r="C168" s="29"/>
      <c r="E168" s="325"/>
      <c r="F168" s="301"/>
      <c r="G168" s="46"/>
      <c r="H168" s="46"/>
      <c r="I168" s="46"/>
      <c r="J168" s="1" t="s">
        <v>21</v>
      </c>
      <c r="M168" s="3"/>
      <c r="O168" s="46"/>
      <c r="P168" s="29"/>
      <c r="Q168" s="86"/>
      <c r="R168" s="28"/>
      <c r="S168" s="28"/>
      <c r="V168" s="28"/>
      <c r="Y168" s="28"/>
      <c r="AB168" s="31"/>
      <c r="AC168" s="28"/>
    </row>
    <row r="169" spans="1:29" s="64" customFormat="1">
      <c r="B169" s="31"/>
      <c r="C169" s="31"/>
      <c r="F169" s="40"/>
      <c r="L169" s="63"/>
      <c r="M169" s="30"/>
      <c r="N169" s="30"/>
      <c r="O169" s="30"/>
      <c r="P169" s="30"/>
      <c r="Q169" s="48"/>
      <c r="R169" s="31"/>
      <c r="S169" s="31"/>
      <c r="V169" s="31"/>
      <c r="Y169" s="31"/>
      <c r="AB169" s="31"/>
      <c r="AC169" s="31"/>
    </row>
    <row r="170" spans="1:29" ht="60">
      <c r="A170" s="64" t="str">
        <f>CONCATENATE("q",I170)</f>
        <v>q318</v>
      </c>
      <c r="B170" s="30" t="s">
        <v>390</v>
      </c>
      <c r="C170" s="30"/>
      <c r="D170" s="18"/>
      <c r="E170" s="70" t="s">
        <v>1279</v>
      </c>
      <c r="G170" s="70"/>
      <c r="H170" s="70" t="s">
        <v>409</v>
      </c>
      <c r="I170" s="42">
        <f>318</f>
        <v>318</v>
      </c>
      <c r="J170" s="18"/>
      <c r="L170" s="12" t="s">
        <v>174</v>
      </c>
      <c r="M170" s="31" t="s">
        <v>206</v>
      </c>
      <c r="N170" s="14" t="str">
        <f>CONCATENATE("q",$I170)</f>
        <v>q318</v>
      </c>
      <c r="O170" s="46" t="str">
        <f>CONCATENATE(I170,". ", E170)</f>
        <v>318. اسم الفرد المستجيب</v>
      </c>
      <c r="P170" s="29" t="str">
        <f>CONCATENATE(I170, ". ",B170)</f>
        <v>318. Name of the responding individual:</v>
      </c>
      <c r="Q170" s="48"/>
      <c r="R170" s="30"/>
      <c r="S170" s="99" t="s">
        <v>407</v>
      </c>
      <c r="T170" s="12"/>
      <c r="U170" s="12"/>
      <c r="Y170" s="31" t="b">
        <v>1</v>
      </c>
      <c r="AB170" s="18"/>
      <c r="AC170" s="18"/>
    </row>
    <row r="171" spans="1:29">
      <c r="A171" s="64"/>
      <c r="B171" s="30"/>
      <c r="C171" s="30"/>
      <c r="D171" s="18"/>
      <c r="E171" s="70"/>
      <c r="G171" s="70"/>
      <c r="H171" s="70"/>
      <c r="I171" s="42"/>
      <c r="J171" s="64" t="s">
        <v>20</v>
      </c>
      <c r="M171" s="31"/>
      <c r="N171" s="14"/>
      <c r="O171" s="46"/>
      <c r="P171" s="29"/>
      <c r="Q171" s="407"/>
      <c r="R171" s="30"/>
      <c r="S171" s="99"/>
      <c r="T171" s="12"/>
      <c r="U171" s="12"/>
      <c r="AB171" s="18"/>
      <c r="AC171" s="18"/>
    </row>
    <row r="172" spans="1:29" s="150" customFormat="1" ht="45">
      <c r="A172" s="147"/>
      <c r="B172" s="100"/>
      <c r="C172" s="100"/>
      <c r="D172" s="148"/>
      <c r="E172" s="53"/>
      <c r="F172" s="53"/>
      <c r="G172" s="149"/>
      <c r="I172" s="151"/>
      <c r="J172" s="89"/>
      <c r="L172" s="152" t="s">
        <v>413</v>
      </c>
      <c r="M172" s="153" t="str">
        <f>CONCATENATE(M170,"_line_",N170)</f>
        <v>roster_line_q318</v>
      </c>
      <c r="N172" s="152" t="str">
        <f>CONCATENATE(N170,"_1")</f>
        <v>q318_1</v>
      </c>
      <c r="O172" s="78"/>
      <c r="P172" s="100"/>
      <c r="R172" s="63"/>
      <c r="S172" s="154" t="str">
        <f>S170</f>
        <v xml:space="preserve"> data('valid_overall') == 1</v>
      </c>
      <c r="T172" s="63"/>
      <c r="U172" s="63"/>
      <c r="V172" s="16"/>
      <c r="Y172" s="150" t="b">
        <v>1</v>
      </c>
    </row>
    <row r="173" spans="1:29" s="89" customFormat="1" ht="60">
      <c r="A173" s="368"/>
      <c r="B173" s="63" t="str">
        <f>CONCATENATE("Line number: {{data.",N172,"}}")</f>
        <v>Line number: {{data.q318_1}}</v>
      </c>
      <c r="C173" s="63"/>
      <c r="D173" s="303"/>
      <c r="E173" s="409" t="str">
        <f>CONCATENATE("رقم سطر الفرد   : ","{{data.",N172,"}}")</f>
        <v>رقم سطر الفرد   : {{data.q318_1}}</v>
      </c>
      <c r="F173" s="409"/>
      <c r="G173" s="409"/>
      <c r="H173" s="16"/>
      <c r="I173" s="304"/>
      <c r="J173" s="429"/>
      <c r="K173" s="23"/>
      <c r="L173" s="174" t="s">
        <v>22</v>
      </c>
      <c r="M173" s="169"/>
      <c r="N173" s="174"/>
      <c r="O173" s="409" t="str">
        <f>E173</f>
        <v>رقم سطر الفرد   : {{data.q318_1}}</v>
      </c>
      <c r="P173" s="63" t="str">
        <f>B173</f>
        <v>Line number: {{data.q318_1}}</v>
      </c>
      <c r="S173" s="299"/>
      <c r="V173" s="430"/>
      <c r="Y173" s="150" t="b">
        <v>1</v>
      </c>
    </row>
    <row r="174" spans="1:29" s="19" customFormat="1">
      <c r="A174" s="406"/>
      <c r="B174" s="410"/>
      <c r="C174" s="407"/>
      <c r="D174" s="407"/>
      <c r="E174" s="410"/>
      <c r="F174" s="407"/>
      <c r="G174" s="70"/>
      <c r="H174" s="407"/>
      <c r="J174" s="405"/>
      <c r="L174" s="405"/>
      <c r="O174" s="407"/>
      <c r="P174" s="410"/>
      <c r="Q174" s="31"/>
      <c r="R174" s="31"/>
      <c r="S174" s="31"/>
    </row>
    <row r="175" spans="1:29">
      <c r="J175" s="18" t="s">
        <v>21</v>
      </c>
      <c r="Q175" s="86"/>
    </row>
    <row r="176" spans="1:29">
      <c r="J176" s="18"/>
      <c r="Q176" s="86"/>
    </row>
    <row r="177" spans="10:17">
      <c r="J177" s="18"/>
      <c r="Q177" s="86"/>
    </row>
    <row r="178" spans="10:17">
      <c r="J178" s="18"/>
      <c r="Q178" s="86"/>
    </row>
    <row r="179" spans="10:17">
      <c r="Q179" s="86"/>
    </row>
    <row r="180" spans="10:17">
      <c r="Q180" s="86"/>
    </row>
    <row r="181" spans="10:17">
      <c r="Q181" s="86"/>
    </row>
    <row r="182" spans="10:17">
      <c r="Q182" s="86"/>
    </row>
    <row r="183" spans="10:17">
      <c r="Q183" s="86"/>
    </row>
    <row r="184" spans="10:17">
      <c r="Q184" s="86"/>
    </row>
    <row r="185" spans="10:17">
      <c r="Q185" s="86"/>
    </row>
    <row r="186" spans="10:17">
      <c r="Q186" s="86"/>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1"/>
  <sheetViews>
    <sheetView zoomScale="75" zoomScaleNormal="75" zoomScalePageLayoutView="75" workbookViewId="0">
      <pane ySplit="2" topLeftCell="A212" activePane="bottomLeft" state="frozen"/>
      <selection activeCell="C6" sqref="C6:C7"/>
      <selection pane="bottomLeft" activeCell="L223" sqref="L223:M223"/>
    </sheetView>
  </sheetViews>
  <sheetFormatPr defaultColWidth="16.140625" defaultRowHeight="15.75"/>
  <cols>
    <col min="1" max="1" width="10.42578125" style="18" customWidth="1"/>
    <col min="2" max="3" width="15" style="131" customWidth="1"/>
    <col min="4" max="4" width="15" style="30" customWidth="1"/>
    <col min="5" max="6" width="15" style="158" customWidth="1"/>
    <col min="7" max="7" width="15" style="131" customWidth="1"/>
    <col min="8" max="8" width="15.140625" style="131" customWidth="1"/>
    <col min="9" max="9" width="10.42578125" style="30" bestFit="1" customWidth="1"/>
    <col min="10" max="10" width="16.140625" style="18"/>
    <col min="11" max="11" width="19" style="21" customWidth="1"/>
    <col min="12" max="12" width="22" style="21" bestFit="1" customWidth="1"/>
    <col min="13" max="13" width="16.140625" style="21"/>
    <col min="14" max="14" width="12.85546875" style="21" customWidth="1"/>
    <col min="15" max="15" width="23.7109375" style="70" customWidth="1"/>
    <col min="16" max="16" width="23.7109375" style="30" customWidth="1"/>
    <col min="17" max="17" width="23.7109375" style="70" customWidth="1"/>
    <col min="18" max="18" width="23.7109375" style="30" customWidth="1"/>
    <col min="19" max="21" width="17.85546875" style="30" customWidth="1"/>
    <col min="22" max="22" width="20.140625" style="30" customWidth="1"/>
    <col min="23" max="25" width="16.140625" style="9"/>
    <col min="26" max="26" width="23" style="18" customWidth="1"/>
    <col min="27" max="27" width="22.140625" style="18" bestFit="1" customWidth="1"/>
    <col min="28" max="28" width="28" style="18" bestFit="1" customWidth="1"/>
    <col min="29" max="29" width="24.42578125" style="115" customWidth="1"/>
    <col min="30" max="16384" width="16.140625" style="9"/>
  </cols>
  <sheetData>
    <row r="1" spans="1:29" s="332" customFormat="1" ht="26.25">
      <c r="A1" s="332" t="s">
        <v>5</v>
      </c>
      <c r="B1" s="94" t="s">
        <v>5</v>
      </c>
      <c r="C1" s="94" t="s">
        <v>5</v>
      </c>
      <c r="D1" s="94" t="s">
        <v>5</v>
      </c>
      <c r="E1" s="94" t="s">
        <v>5</v>
      </c>
      <c r="F1" s="94" t="s">
        <v>5</v>
      </c>
      <c r="G1" s="94" t="s">
        <v>5</v>
      </c>
      <c r="H1" s="94" t="s">
        <v>5</v>
      </c>
      <c r="I1" s="332" t="s">
        <v>5</v>
      </c>
      <c r="J1" s="334" t="s">
        <v>0</v>
      </c>
      <c r="K1" s="334" t="s">
        <v>1</v>
      </c>
      <c r="L1" s="332" t="s">
        <v>2</v>
      </c>
      <c r="M1" s="332" t="s">
        <v>3</v>
      </c>
      <c r="N1" s="332" t="s">
        <v>4</v>
      </c>
      <c r="O1" s="94" t="s">
        <v>1282</v>
      </c>
      <c r="P1" s="94" t="s">
        <v>1283</v>
      </c>
      <c r="Q1" s="73" t="s">
        <v>1286</v>
      </c>
      <c r="R1" s="62" t="s">
        <v>1287</v>
      </c>
      <c r="S1" s="332" t="s">
        <v>7</v>
      </c>
      <c r="T1" s="332" t="s">
        <v>47</v>
      </c>
      <c r="U1" s="332" t="s">
        <v>148</v>
      </c>
      <c r="V1" s="332" t="s">
        <v>25</v>
      </c>
      <c r="W1" s="52" t="s">
        <v>1288</v>
      </c>
      <c r="X1" s="52" t="s">
        <v>1289</v>
      </c>
      <c r="Y1" s="332" t="s">
        <v>6</v>
      </c>
      <c r="Z1" s="160" t="s">
        <v>374</v>
      </c>
      <c r="AA1" s="160" t="s">
        <v>375</v>
      </c>
    </row>
    <row r="2" spans="1:29" s="33" customFormat="1" ht="45">
      <c r="A2" s="72" t="s">
        <v>353</v>
      </c>
      <c r="B2" s="103" t="s">
        <v>354</v>
      </c>
      <c r="C2" s="102" t="s">
        <v>1187</v>
      </c>
      <c r="D2" s="103" t="s">
        <v>358</v>
      </c>
      <c r="E2" s="95" t="s">
        <v>355</v>
      </c>
      <c r="F2" s="102" t="s">
        <v>1186</v>
      </c>
      <c r="G2" s="79" t="s">
        <v>357</v>
      </c>
      <c r="H2" s="74" t="s">
        <v>356</v>
      </c>
      <c r="I2" s="74" t="s">
        <v>426</v>
      </c>
      <c r="K2" s="113"/>
      <c r="L2" s="113"/>
      <c r="M2" s="113"/>
      <c r="N2" s="113"/>
      <c r="O2" s="198"/>
      <c r="P2" s="126"/>
      <c r="Q2" s="161"/>
      <c r="R2" s="59"/>
      <c r="S2" s="126"/>
      <c r="T2" s="126"/>
      <c r="U2" s="126"/>
      <c r="V2" s="161"/>
      <c r="Z2" s="161"/>
      <c r="AC2" s="112"/>
    </row>
    <row r="3" spans="1:29" s="33" customFormat="1">
      <c r="A3" s="80" t="s">
        <v>364</v>
      </c>
      <c r="B3" s="104" t="s">
        <v>365</v>
      </c>
      <c r="C3" s="104" t="s">
        <v>364</v>
      </c>
      <c r="D3" s="104" t="s">
        <v>364</v>
      </c>
      <c r="E3" s="104" t="s">
        <v>365</v>
      </c>
      <c r="F3" s="104" t="s">
        <v>364</v>
      </c>
      <c r="G3" s="104" t="s">
        <v>364</v>
      </c>
      <c r="H3" s="105" t="s">
        <v>364</v>
      </c>
      <c r="I3" s="105" t="s">
        <v>364</v>
      </c>
      <c r="K3" s="113"/>
      <c r="L3" s="113"/>
      <c r="M3" s="113"/>
      <c r="N3" s="113"/>
      <c r="O3" s="198"/>
      <c r="P3" s="126"/>
      <c r="Q3" s="161"/>
      <c r="R3" s="59"/>
      <c r="S3" s="126"/>
      <c r="T3" s="126"/>
      <c r="U3" s="126"/>
      <c r="V3" s="161"/>
      <c r="Z3" s="161"/>
      <c r="AC3" s="112"/>
    </row>
    <row r="4" spans="1:29" s="33" customFormat="1">
      <c r="A4" s="80"/>
      <c r="B4" s="128"/>
      <c r="C4" s="128"/>
      <c r="D4" s="104"/>
      <c r="E4" s="204"/>
      <c r="F4" s="204"/>
      <c r="G4" s="128"/>
      <c r="H4" s="128"/>
      <c r="I4" s="126"/>
      <c r="J4" s="19" t="s">
        <v>20</v>
      </c>
      <c r="K4" s="113"/>
      <c r="L4" s="113"/>
      <c r="M4" s="113"/>
      <c r="N4" s="113"/>
      <c r="O4" s="198"/>
      <c r="P4" s="126"/>
      <c r="Q4" s="161"/>
      <c r="R4" s="59"/>
      <c r="S4" s="126"/>
      <c r="T4" s="126"/>
      <c r="U4" s="126"/>
      <c r="V4" s="161"/>
      <c r="Z4" s="161"/>
      <c r="AC4" s="112"/>
    </row>
    <row r="5" spans="1:29" s="19" customFormat="1" ht="30">
      <c r="A5" s="40"/>
      <c r="B5" s="295"/>
      <c r="C5" s="295" t="s">
        <v>1304</v>
      </c>
      <c r="D5" s="48"/>
      <c r="E5" s="446" t="s">
        <v>1374</v>
      </c>
      <c r="F5" s="310"/>
      <c r="H5" s="295"/>
      <c r="I5" s="110"/>
      <c r="K5" s="22"/>
      <c r="L5" s="22" t="s">
        <v>22</v>
      </c>
      <c r="M5" s="22"/>
      <c r="N5" s="22"/>
      <c r="O5" s="76" t="str">
        <f>E5</f>
        <v>0.4 بيانات السكن</v>
      </c>
      <c r="P5" s="110" t="str">
        <f>C5</f>
        <v>0.4 Housing  data</v>
      </c>
      <c r="Q5" s="31"/>
      <c r="R5" s="85"/>
      <c r="S5" s="110"/>
      <c r="T5" s="110"/>
      <c r="U5" s="110"/>
      <c r="V5" s="31"/>
      <c r="Z5" s="31"/>
      <c r="AC5" s="112"/>
    </row>
    <row r="6" spans="1:29" s="18" customFormat="1" ht="270">
      <c r="A6" s="18" t="str">
        <f>N6</f>
        <v>q401</v>
      </c>
      <c r="B6" s="67" t="s">
        <v>328</v>
      </c>
      <c r="C6" s="67"/>
      <c r="D6" s="127" t="str">
        <f>CONCATENATE(INDEX(choices!D:D,MATCH(M6,choices!A:A,0)),"
",IF(M6=INDEX(choices!A:A,MATCH(M6,choices!A:A,0)+1),INDEX(choices!D:D,MATCH(M6,choices!A:A,0)+1),""),IF(M6=INDEX(choices!A:A,MATCH(M6,choices!A:A,0)+1), "
",""),IF(M6=INDEX(choices!A:A,MATCH(M6,choices!A:A,0)+2),INDEX(choices!D:D,MATCH(M6,choices!A:A,0)+2),""),IF(M6=INDEX(choices!A:A,MATCH(M6,choices!A:A,0)+2), "
",""),IF(M6=INDEX(choices!A:A,MATCH(M6,choices!A:A,0)+3),INDEX(choices!D:D,MATCH(M6,choices!A:A,0)+3),""),IF(M6=INDEX(choices!A:A,MATCH(M6,choices!A:A,0)+3), "
",""),IF(M6=INDEX(choices!A:A,MATCH(M6,choices!A:A,0)+4),INDEX(choices!D:D,MATCH(M6,choices!A:A,0)+4),""),IF(M6=INDEX(choices!A:A,MATCH(M6,choices!A:A,0)+4), "
",""),IF(M6=INDEX(choices!A:A,MATCH(M6,choices!A:A,0)+5),INDEX(choices!D:D,MATCH(M6,choices!A:A,0)+5),""),IF(M6=INDEX(choices!A:A,MATCH(M6,choices!A:A,0)+5), "
",""),IF(M6=INDEX(choices!A:A,MATCH(M6,choices!A:A,0)+6),INDEX(choices!D:D,MATCH(M6,choices!A:A,0)+6),""),IF(M6=INDEX(choices!A:A,MATCH(M6,choices!A:A,0)+6), "
",""),IF(M6=INDEX(choices!A:A,MATCH(M6,choices!A:A,0)+7),INDEX(choices!D:D,MATCH(M6,choices!A:A,0)+7),""),IF(M6=INDEX(choices!A:A,MATCH(M6,choices!A:A,0)+7), "
",""),IF(M6=INDEX(choices!A:A,MATCH(M6,choices!A:A,0)+8),INDEX(choices!D:D,MATCH(M6,choices!A:A,0)+8),""),IF(M6=INDEX(choices!A:A,MATCH(M6,choices!A:A,0)+8), "
",""),IF(M6=INDEX(choices!A:A,MATCH(M6,choices!A:A,0)+9),INDEX(choices!D:D,MATCH(M6,choices!A:A,0)+9),""),IF(M6=INDEX(choices!A:A,MATCH(M6,choices!A:A,0)+9), "
",""),IF(M6=INDEX(choices!A:A,MATCH(M6,choices!A:A,0)+10),INDEX(choices!D:D,MATCH(M6,choices!A:A,0)+10),""),IF(M6=INDEX(choices!A:A,MATCH(M6,choices!A:A,0)+10), "
",""),IF(M6=INDEX(choices!A:A,MATCH(M6,choices!A:A,0)+11),INDEX(choices!D:D,MATCH(M6,choices!A:A,0)+11),""),IF(M6=INDEX(choices!A:A,MATCH(M6,choices!A:A,0)+11), "
",""),IF(M6=INDEX(choices!A:A,MATCH(M6,choices!A:A,0)+12),INDEX(choices!D:D,MATCH(M6,choices!A:A,0)+12),""),IF(M6=INDEX(choices!A:A,MATCH(M6,choices!A:A,0)+12), "
",""),IF(M6=INDEX(choices!A:A,MATCH(M6,choices!A:A,0)+13),INDEX(choices!D:D,MATCH(M6,choices!A:A,0)+13),""),IF(M6=INDEX(choices!A:A,MATCH(M6,choices!A:A,0)+13), "
",""),IF(M6=INDEX(choices!A:A,MATCH(M6,choices!A:A,0)+14),INDEX(choices!D:D,MATCH(M6,choices!A:A,0)+14),""),IF(M6=INDEX(choices!A:A,MATCH(M6,choices!A:A,0)+14), "
",""),IF(M6=INDEX(choices!A:A,MATCH(M6,choices!A:A,0)+15),INDEX(choices!D:D,MATCH(M6,choices!A:A,0)+15),""),IF(M6=INDEX(choices!A:A,MATCH(M6,choices!A:A,0)+15), "
",""),IF(M6=INDEX(choices!A:A,MATCH(M6,choices!A:A,0)+16),INDEX(choices!D:D,MATCH(M6,choices!A:A,0)+16),""),IF(M6=INDEX(choices!A:A,MATCH(M6,choices!A:A,0)+16), "
",""),IF(M6=INDEX(choices!A:A,MATCH(M6,choices!A:A,0)+17),INDEX(choices!D:D,MATCH(M6,choices!A:A,0)+17),""),IF(M6=INDEX(choices!A:A,MATCH(M6,choices!A:A,0)+17), "
",""),IF(M6=INDEX(choices!A:A,MATCH(M6,choices!A:A,0)+18),INDEX(choices!D:D,MATCH(M6,choices!A:A,0)+18),""),IF(M6=INDEX(choices!A:A,MATCH(M6,choices!A:A,0)+18), "
",""),IF(M6=INDEX(choices!A:A,MATCH(M6,choices!A:A,0)+19),INDEX(choices!D:D,MATCH(M6,choices!A:A,0)+19),""),IF(M6=INDEX(choices!A:A,MATCH(M6,choices!A:A,0)+19), "
",""),IF(M6=INDEX(choices!A:A,MATCH(M6,choices!A:A,0)+20),INDEX(choices!D:D,MATCH(M6,choices!A:A,0)+20),""),IF(M6=INDEX(choices!A:A,MATCH(M6,choices!A:A,0)+20), "
",""))</f>
        <v xml:space="preserve">1. Apartment
2. More than one apartment
3. Villa or house
4. Village house
5. One room or more in the same unit
6. One independent room or more
7. Cottage (3echa) or tent
8. Cemetry
97. Other
</v>
      </c>
      <c r="E6" s="310" t="s">
        <v>1087</v>
      </c>
      <c r="F6" s="310"/>
      <c r="G6" s="67" t="str">
        <f>CONCATENATE(INDEX(choices!C:C,MATCH(M6,choices!A:A,0)),"
",IF(M6=INDEX(choices!A:A,MATCH(M6,choices!A:A,0)+1),INDEX(choices!C:C,MATCH(M6,choices!A:A,0)+1),""),IF(M6=INDEX(choices!A:A,MATCH(M6,choices!A:A,0)+1), "
",""),IF(M6=INDEX(choices!A:A,MATCH(M6,choices!A:A,0)+2),INDEX(choices!C:C,MATCH(M6,choices!A:A,0)+2),""),IF(M6=INDEX(choices!A:A,MATCH(M6,choices!A:A,0)+2), "
",""),IF(M6=INDEX(choices!A:A,MATCH(M6,choices!A:A,0)+3),INDEX(choices!C:C,MATCH(M6,choices!A:A,0)+3),""),IF(M6=INDEX(choices!A:A,MATCH(M6,choices!A:A,0)+3), "
",""),IF(M6=INDEX(choices!A:A,MATCH(M6,choices!A:A,0)+4),INDEX(choices!C:C,MATCH(M6,choices!A:A,0)+4),""),IF(M6=INDEX(choices!A:A,MATCH(M6,choices!A:A,0)+4), "
",""),IF(M6=INDEX(choices!A:A,MATCH(M6,choices!A:A,0)+5),INDEX(choices!C:C,MATCH(M6,choices!A:A,0)+5),""),IF(M6=INDEX(choices!A:A,MATCH(M6,choices!A:A,0)+5), "
",""),IF(M6=INDEX(choices!A:A,MATCH(M6,choices!A:A,0)+6),INDEX(choices!C:C,MATCH(M6,choices!A:A,0)+6),""),IF(M6=INDEX(choices!A:A,MATCH(M6,choices!A:A,0)+6), "
",""),IF(M6=INDEX(choices!A:A,MATCH(M6,choices!A:A,0)+7),INDEX(choices!C:C,MATCH(M6,choices!A:A,0)+7),""),IF(M6=INDEX(choices!A:A,MATCH(M6,choices!A:A,0)+7), "
",""),IF(M6=INDEX(choices!A:A,MATCH(M6,choices!A:A,0)+8),INDEX(choices!C:C,MATCH(M6,choices!A:A,0)+8),""),IF(M6=INDEX(choices!A:A,MATCH(M6,choices!A:A,0)+8), "
",""),IF(M6=INDEX(choices!A:A,MATCH(M6,choices!A:A,0)+9),INDEX(choices!C:C,MATCH(M6,choices!A:A,0)+9),""),IF(M6=INDEX(choices!A:A,MATCH(M6,choices!A:A,0)+9), "
",""),IF(M6=INDEX(choices!A:A,MATCH(M6,choices!A:A,0)+10),INDEX(choices!C:C,MATCH(M6,choices!A:A,0)+10),""),IF(M6=INDEX(choices!A:A,MATCH(M6,choices!A:A,0)+10), "
",""),IF(M6=INDEX(choices!A:A,MATCH(M6,choices!A:A,0)+11),INDEX(choices!C:C,MATCH(M6,choices!A:A,0)+11),""),IF(M6=INDEX(choices!A:A,MATCH(M6,choices!A:A,0)+11), "
",""),IF(M6=INDEX(choices!A:A,MATCH(M6,choices!A:A,0)+12),INDEX(choices!C:C,MATCH(M6,choices!A:A,0)+12),""),IF(M6=INDEX(choices!A:A,MATCH(M6,choices!A:A,0)+12), "
",""),IF(M6=INDEX(choices!A:A,MATCH(M6,choices!A:A,0)+13),INDEX(choices!C:C,MATCH(M6,choices!A:A,0)+13),""),IF(M6=INDEX(choices!A:A,MATCH(M6,choices!A:A,0)+13), "
",""),IF(M6=INDEX(choices!A:A,MATCH(M6,choices!A:A,0)+14),INDEX(choices!C:C,MATCH(M6,choices!A:A,0)+14),""),IF(M6=INDEX(choices!A:A,MATCH(M6,choices!A:A,0)+14), "
",""),IF(M6=INDEX(choices!A:A,MATCH(M6,choices!A:A,0)+15),INDEX(choices!C:C,MATCH(M6,choices!A:A,0)+15),""),IF(M6=INDEX(choices!A:A,MATCH(M6,choices!A:A,0)+15), "
",""),IF(M6=INDEX(choices!A:A,MATCH(M6,choices!A:A,0)+16),INDEX(choices!C:C,MATCH(M6,choices!A:A,0)+16),""),IF(M6=INDEX(choices!A:A,MATCH(M6,choices!A:A,0)+16), "
",""),IF(M6=INDEX(choices!A:A,MATCH(M6,choices!A:A,0)+17),INDEX(choices!C:C,MATCH(M6,choices!A:A,0)+17),""),IF(M6=INDEX(choices!A:A,MATCH(M6,choices!A:A,0)+17), "
",""),IF(M6=INDEX(choices!A:A,MATCH(M6,choices!A:A,0)+18),INDEX(choices!C:C,MATCH(M6,choices!A:A,0)+18),""),IF(M6=INDEX(choices!A:A,MATCH(M6,choices!A:A,0)+18), "
",""),IF(M6=INDEX(choices!A:A,MATCH(M6,choices!A:A,0)+19),INDEX(choices!C:C,MATCH(M6,choices!A:A,0)+19),""),IF(M6=INDEX(choices!A:A,MATCH(M6,choices!A:A,0)+19), "
",""),IF(M6=INDEX(choices!A:A,MATCH(M6,choices!A:A,0)+20),INDEX(choices!C:C,MATCH(M6,choices!A:A,0)+20),""),IF(M6=INDEX(choices!A:A,MATCH(M6,choices!A:A,0)+20), "
","")," ")</f>
        <v xml:space="preserve">1. شقة
2. أكثر من شقة
3. فيلا أو منزل بأكمله
4. بيت ريفي بأكمله 
5. غرفة أو أكثر في وحدة سكنية
6. غرفة مستقلة أو أكثر
7. عشة أو خيمة
8. حوش أو مدفن 
97. أخرى
 </v>
      </c>
      <c r="H6" s="67" t="s">
        <v>266</v>
      </c>
      <c r="I6" s="30">
        <v>401</v>
      </c>
      <c r="K6" s="21"/>
      <c r="L6" s="21" t="s">
        <v>18</v>
      </c>
      <c r="M6" s="21" t="s">
        <v>26</v>
      </c>
      <c r="N6" s="21" t="str">
        <f>CONCATENATE("q", I6)</f>
        <v>q401</v>
      </c>
      <c r="O6" s="48" t="str">
        <f>CONCATENATE(I6,". ",E6)</f>
        <v>401. ما هو نوع المسكن؟</v>
      </c>
      <c r="P6" s="127" t="str">
        <f>CONCATENATE(A6, ". ", B6)</f>
        <v>q401. What is the family's type of housing?</v>
      </c>
      <c r="Q6" s="30"/>
      <c r="R6" s="58"/>
      <c r="S6" s="127" t="str">
        <f>'1_0_statistical_identification'!S164</f>
        <v>(data('valid_overall') == 1)</v>
      </c>
      <c r="T6" s="127"/>
      <c r="U6" s="127"/>
      <c r="V6" s="30"/>
      <c r="Y6" s="14" t="b">
        <v>1</v>
      </c>
      <c r="Z6" s="161"/>
      <c r="AA6" s="19"/>
      <c r="AB6" s="19"/>
    </row>
    <row r="7" spans="1:29" s="1" customFormat="1" ht="30">
      <c r="A7" s="14"/>
      <c r="B7" s="129"/>
      <c r="C7" s="129"/>
      <c r="D7" s="28"/>
      <c r="E7" s="129"/>
      <c r="F7" s="129"/>
      <c r="G7" s="133"/>
      <c r="H7" s="133"/>
      <c r="I7" s="28"/>
      <c r="J7" s="43" t="s">
        <v>23</v>
      </c>
      <c r="K7" s="28" t="str">
        <f>CONCATENATE("selected (data('",A6,"'), '97')")</f>
        <v>selected (data('q401'), '97')</v>
      </c>
      <c r="L7" s="19"/>
      <c r="M7" s="12"/>
      <c r="N7" s="14"/>
      <c r="O7" s="48"/>
      <c r="P7" s="31"/>
      <c r="Q7" s="28"/>
      <c r="R7" s="28"/>
      <c r="S7" s="31"/>
      <c r="T7" s="31"/>
      <c r="U7" s="31"/>
      <c r="V7" s="28"/>
      <c r="Y7" s="14"/>
      <c r="Z7" s="161"/>
      <c r="AA7" s="19"/>
      <c r="AB7" s="19"/>
      <c r="AC7" s="14"/>
    </row>
    <row r="8" spans="1:29" s="1" customFormat="1" ht="75">
      <c r="A8" s="14" t="str">
        <f>CONCATENATE("q",I8)</f>
        <v>q401_other</v>
      </c>
      <c r="B8" s="129" t="s">
        <v>393</v>
      </c>
      <c r="C8" s="129"/>
      <c r="D8" s="28"/>
      <c r="E8" s="129" t="s">
        <v>1088</v>
      </c>
      <c r="F8" s="129"/>
      <c r="G8" s="133"/>
      <c r="H8" s="133"/>
      <c r="I8" s="28" t="str">
        <f>CONCATENATE(I6,"_other")</f>
        <v>401_other</v>
      </c>
      <c r="J8" s="43"/>
      <c r="K8" s="28"/>
      <c r="L8" s="19" t="s">
        <v>8</v>
      </c>
      <c r="M8" s="12"/>
      <c r="N8" s="14" t="str">
        <f>CONCATENATE("q",I8)</f>
        <v>q401_other</v>
      </c>
      <c r="O8" s="86" t="str">
        <f>CONCATENATE(I8,". ",E8)</f>
        <v>401_other. أخرى</v>
      </c>
      <c r="P8" s="86" t="str">
        <f>CONCATENATE($I8,". ",B8)</f>
        <v xml:space="preserve">401_other. Other: </v>
      </c>
      <c r="Q8" s="28"/>
      <c r="R8" s="28"/>
      <c r="S8" s="86" t="str">
        <f>CONCATENATE(K7, " &amp;&amp; ", '1_0_statistical_identification'!$S$164)</f>
        <v>selected (data('q401'), '97') &amp;&amp; (data('valid_overall') == 1)</v>
      </c>
      <c r="T8" s="86"/>
      <c r="U8" s="86"/>
      <c r="V8" s="28"/>
      <c r="Y8" s="14" t="b">
        <v>1</v>
      </c>
      <c r="Z8" s="161"/>
      <c r="AA8" s="19"/>
      <c r="AB8" s="19"/>
      <c r="AC8" s="14"/>
    </row>
    <row r="9" spans="1:29" s="1" customFormat="1" ht="15">
      <c r="A9" s="14"/>
      <c r="B9" s="129"/>
      <c r="C9" s="129"/>
      <c r="D9" s="28"/>
      <c r="E9" s="129"/>
      <c r="F9" s="129"/>
      <c r="G9" s="133"/>
      <c r="H9" s="134"/>
      <c r="I9" s="28"/>
      <c r="J9" s="43" t="s">
        <v>24</v>
      </c>
      <c r="K9" s="28"/>
      <c r="L9" s="19"/>
      <c r="M9" s="12"/>
      <c r="N9" s="14"/>
      <c r="O9" s="48"/>
      <c r="P9" s="31"/>
      <c r="Q9" s="28"/>
      <c r="R9" s="28"/>
      <c r="S9" s="31"/>
      <c r="T9" s="31"/>
      <c r="U9" s="31"/>
      <c r="V9" s="28"/>
      <c r="Y9" s="14"/>
      <c r="Z9" s="161"/>
      <c r="AA9" s="19"/>
      <c r="AB9" s="19"/>
      <c r="AC9" s="14"/>
    </row>
    <row r="10" spans="1:29" s="1" customFormat="1" ht="15">
      <c r="A10" s="14"/>
      <c r="B10" s="129"/>
      <c r="C10" s="129"/>
      <c r="D10" s="28"/>
      <c r="E10" s="129"/>
      <c r="F10" s="129"/>
      <c r="G10" s="133"/>
      <c r="H10" s="134"/>
      <c r="I10" s="28"/>
      <c r="J10" s="43" t="s">
        <v>21</v>
      </c>
      <c r="K10" s="28"/>
      <c r="L10" s="19"/>
      <c r="M10" s="12"/>
      <c r="N10" s="14"/>
      <c r="O10" s="48"/>
      <c r="P10" s="31"/>
      <c r="Q10" s="28"/>
      <c r="R10" s="28"/>
      <c r="S10" s="31"/>
      <c r="T10" s="31"/>
      <c r="U10" s="31"/>
      <c r="V10" s="28"/>
      <c r="Y10" s="14"/>
      <c r="Z10" s="161"/>
      <c r="AA10" s="19"/>
      <c r="AB10" s="19"/>
      <c r="AC10" s="14"/>
    </row>
    <row r="11" spans="1:29" s="1" customFormat="1" ht="15">
      <c r="A11" s="14"/>
      <c r="B11" s="129"/>
      <c r="C11" s="129"/>
      <c r="D11" s="28"/>
      <c r="E11" s="129"/>
      <c r="F11" s="129"/>
      <c r="G11" s="133"/>
      <c r="H11" s="134"/>
      <c r="I11" s="28"/>
      <c r="J11" s="43" t="s">
        <v>20</v>
      </c>
      <c r="K11" s="28"/>
      <c r="L11" s="19"/>
      <c r="M11" s="12"/>
      <c r="N11" s="14"/>
      <c r="O11" s="48"/>
      <c r="P11" s="31"/>
      <c r="Q11" s="28"/>
      <c r="R11" s="28"/>
      <c r="S11" s="31"/>
      <c r="T11" s="31"/>
      <c r="U11" s="31"/>
      <c r="V11" s="28"/>
      <c r="Y11" s="14"/>
      <c r="Z11" s="161"/>
      <c r="AA11" s="19"/>
      <c r="AB11" s="19"/>
      <c r="AC11" s="14"/>
    </row>
    <row r="12" spans="1:29" s="18" customFormat="1" ht="135">
      <c r="A12" s="18" t="str">
        <f t="shared" ref="A12:A33" si="0">N12</f>
        <v>q402</v>
      </c>
      <c r="B12" s="67" t="s">
        <v>329</v>
      </c>
      <c r="C12" s="407" t="str">
        <f>CONCATENATE("Hints: ", R12)</f>
        <v xml:space="preserve">Hints: ** Fill the response by observation then ask for verification, if needed </v>
      </c>
      <c r="D12" s="127"/>
      <c r="E12" s="327" t="s">
        <v>1089</v>
      </c>
      <c r="F12" s="407" t="str">
        <f>CONCATENATE("Hints: ",Q12, )</f>
        <v>Hints: ** يفضل استيفاء السؤال بالملاحظة ثم اسأل للتحقق عند الحاجة</v>
      </c>
      <c r="G12" s="67" t="str">
        <f>CONCATENATE(INDEX(choices!C:C,MATCH(M12,choices!A:A,0)),"
",IF(M12=INDEX(choices!A:A,MATCH(M12,choices!A:A,0)+1),INDEX(choices!C:C,MATCH(M12,choices!A:A,0)+1),""),IF(M12=INDEX(choices!A:A,MATCH(M12,choices!A:A,0)+1), "
",""),IF(M12=INDEX(choices!A:A,MATCH(M12,choices!A:A,0)+2),INDEX(choices!C:C,MATCH(M12,choices!A:A,0)+2),""),IF(M12=INDEX(choices!A:A,MATCH(M12,choices!A:A,0)+2), "
",""),IF(M12=INDEX(choices!A:A,MATCH(M12,choices!A:A,0)+3),INDEX(choices!C:C,MATCH(M12,choices!A:A,0)+3),""),IF(M12=INDEX(choices!A:A,MATCH(M12,choices!A:A,0)+3), "
",""),IF(M12=INDEX(choices!A:A,MATCH(M12,choices!A:A,0)+4),INDEX(choices!C:C,MATCH(M12,choices!A:A,0)+4),""),IF(M12=INDEX(choices!A:A,MATCH(M12,choices!A:A,0)+4), "
",""),IF(M12=INDEX(choices!A:A,MATCH(M12,choices!A:A,0)+5),INDEX(choices!C:C,MATCH(M12,choices!A:A,0)+5),""),IF(M12=INDEX(choices!A:A,MATCH(M12,choices!A:A,0)+5), "
",""),IF(M12=INDEX(choices!A:A,MATCH(M12,choices!A:A,0)+6),INDEX(choices!C:C,MATCH(M12,choices!A:A,0)+6),""),IF(M12=INDEX(choices!A:A,MATCH(M12,choices!A:A,0)+6), "
",""),IF(M12=INDEX(choices!A:A,MATCH(M12,choices!A:A,0)+7),INDEX(choices!C:C,MATCH(M12,choices!A:A,0)+7),""),IF(M12=INDEX(choices!A:A,MATCH(M12,choices!A:A,0)+7), "
",""),IF(M12=INDEX(choices!A:A,MATCH(M12,choices!A:A,0)+8),INDEX(choices!C:C,MATCH(M12,choices!A:A,0)+8),""),IF(M12=INDEX(choices!A:A,MATCH(M12,choices!A:A,0)+8), "
",""),IF(M12=INDEX(choices!A:A,MATCH(M12,choices!A:A,0)+9),INDEX(choices!C:C,MATCH(M12,choices!A:A,0)+9),""),IF(M12=INDEX(choices!A:A,MATCH(M12,choices!A:A,0)+9), "
",""),IF(M12=INDEX(choices!A:A,MATCH(M12,choices!A:A,0)+10),INDEX(choices!C:C,MATCH(M12,choices!A:A,0)+10),""),IF(M12=INDEX(choices!A:A,MATCH(M12,choices!A:A,0)+10), "
",""),IF(M12=INDEX(choices!A:A,MATCH(M12,choices!A:A,0)+11),INDEX(choices!C:C,MATCH(M12,choices!A:A,0)+11),""),IF(M12=INDEX(choices!A:A,MATCH(M12,choices!A:A,0)+11), "
",""),IF(M12=INDEX(choices!A:A,MATCH(M12,choices!A:A,0)+12),INDEX(choices!C:C,MATCH(M12,choices!A:A,0)+12),""),IF(M12=INDEX(choices!A:A,MATCH(M12,choices!A:A,0)+12), "
",""),IF(M12=INDEX(choices!A:A,MATCH(M12,choices!A:A,0)+13),INDEX(choices!C:C,MATCH(M12,choices!A:A,0)+13),""),IF(M12=INDEX(choices!A:A,MATCH(M12,choices!A:A,0)+13), "
",""),IF(M12=INDEX(choices!A:A,MATCH(M12,choices!A:A,0)+14),INDEX(choices!C:C,MATCH(M12,choices!A:A,0)+14),""),IF(M12=INDEX(choices!A:A,MATCH(M12,choices!A:A,0)+14), "
",""),IF(M12=INDEX(choices!A:A,MATCH(M12,choices!A:A,0)+15),INDEX(choices!C:C,MATCH(M12,choices!A:A,0)+15),""),IF(M12=INDEX(choices!A:A,MATCH(M12,choices!A:A,0)+15), "
",""),IF(M12=INDEX(choices!A:A,MATCH(M12,choices!A:A,0)+16),INDEX(choices!C:C,MATCH(M12,choices!A:A,0)+16),""),IF(M12=INDEX(choices!A:A,MATCH(M12,choices!A:A,0)+16), "
",""),IF(M12=INDEX(choices!A:A,MATCH(M12,choices!A:A,0)+17),INDEX(choices!C:C,MATCH(M12,choices!A:A,0)+17),""),IF(M12=INDEX(choices!A:A,MATCH(M12,choices!A:A,0)+17), "
",""),IF(M12=INDEX(choices!A:A,MATCH(M12,choices!A:A,0)+18),INDEX(choices!C:C,MATCH(M12,choices!A:A,0)+18),""),IF(M12=INDEX(choices!A:A,MATCH(M12,choices!A:A,0)+18), "
",""),IF(M12=INDEX(choices!A:A,MATCH(M12,choices!A:A,0)+19),INDEX(choices!C:C,MATCH(M12,choices!A:A,0)+19),""),IF(M12=INDEX(choices!A:A,MATCH(M12,choices!A:A,0)+19), "
",""),IF(M12=INDEX(choices!A:A,MATCH(M12,choices!A:A,0)+20),INDEX(choices!C:C,MATCH(M12,choices!A:A,0)+20),""),IF(M12=INDEX(choices!A:A,MATCH(M12,choices!A:A,0)+20), "
","")," ")</f>
        <v xml:space="preserve">1. أرضية ترابية
2. خشب
3.طوب أو حجر 
4. بلاط  أو أسمنت
5. سيراميك/كسر سيراميك/رخام
6. باركيه
97. أخرى
 </v>
      </c>
      <c r="H12" s="67" t="s">
        <v>266</v>
      </c>
      <c r="I12" s="30">
        <f>I6+1</f>
        <v>402</v>
      </c>
      <c r="K12" s="21"/>
      <c r="L12" s="21" t="s">
        <v>18</v>
      </c>
      <c r="M12" s="21" t="s">
        <v>27</v>
      </c>
      <c r="N12" s="21" t="str">
        <f>CONCATENATE("q", I12)</f>
        <v>q402</v>
      </c>
      <c r="O12" s="48" t="str">
        <f>CONCATENATE(I12,". ",E12)</f>
        <v>402. ما هي المادة الأساسية المستخدمة في أرضية المسكن؟</v>
      </c>
      <c r="P12" s="127" t="str">
        <f>CONCATENATE(A12, ". ", B12)</f>
        <v>q402. What is the material of the floor?</v>
      </c>
      <c r="Q12" s="468" t="s">
        <v>1539</v>
      </c>
      <c r="R12" s="71" t="s">
        <v>1540</v>
      </c>
      <c r="S12" s="127" t="str">
        <f>'1_0_statistical_identification'!S164</f>
        <v>(data('valid_overall') == 1)</v>
      </c>
      <c r="T12" s="127"/>
      <c r="U12" s="127"/>
      <c r="V12" s="30"/>
      <c r="Y12" s="18" t="b">
        <v>1</v>
      </c>
      <c r="Z12" s="161"/>
      <c r="AA12" s="19"/>
      <c r="AB12" s="19"/>
      <c r="AC12" s="114"/>
    </row>
    <row r="13" spans="1:29" s="1" customFormat="1" ht="30">
      <c r="A13" s="14"/>
      <c r="B13" s="129"/>
      <c r="C13" s="129"/>
      <c r="D13" s="28"/>
      <c r="E13" s="129"/>
      <c r="F13" s="129"/>
      <c r="G13" s="133"/>
      <c r="H13" s="133"/>
      <c r="I13" s="28"/>
      <c r="J13" s="43" t="s">
        <v>23</v>
      </c>
      <c r="K13" s="28" t="str">
        <f>CONCATENATE("selected (data('",A12,"'), '97')")</f>
        <v>selected (data('q402'), '97')</v>
      </c>
      <c r="L13" s="19"/>
      <c r="M13" s="12"/>
      <c r="N13" s="14"/>
      <c r="O13" s="48"/>
      <c r="P13" s="31"/>
      <c r="Q13" s="28"/>
      <c r="R13" s="28"/>
      <c r="S13" s="31"/>
      <c r="T13" s="31"/>
      <c r="U13" s="31"/>
      <c r="V13" s="28"/>
      <c r="Y13" s="14"/>
      <c r="Z13" s="161"/>
      <c r="AA13" s="19"/>
      <c r="AB13" s="19"/>
      <c r="AC13" s="14"/>
    </row>
    <row r="14" spans="1:29" s="1" customFormat="1" ht="75">
      <c r="A14" s="14" t="str">
        <f>CONCATENATE("q",I14)</f>
        <v>q402_other</v>
      </c>
      <c r="B14" s="129" t="s">
        <v>393</v>
      </c>
      <c r="C14" s="129"/>
      <c r="D14" s="28"/>
      <c r="E14" s="129" t="s">
        <v>1088</v>
      </c>
      <c r="F14" s="129"/>
      <c r="G14" s="133"/>
      <c r="H14" s="133"/>
      <c r="I14" s="28" t="str">
        <f>CONCATENATE(I12,"_other")</f>
        <v>402_other</v>
      </c>
      <c r="J14" s="43"/>
      <c r="K14" s="28"/>
      <c r="L14" s="19" t="s">
        <v>8</v>
      </c>
      <c r="M14" s="12"/>
      <c r="N14" s="14" t="str">
        <f>CONCATENATE("q",I14)</f>
        <v>q402_other</v>
      </c>
      <c r="O14" s="86" t="str">
        <f>CONCATENATE(I14,". ",E14)</f>
        <v>402_other. أخرى</v>
      </c>
      <c r="P14" s="86" t="str">
        <f>CONCATENATE($I14,". ",B14)</f>
        <v xml:space="preserve">402_other. Other: </v>
      </c>
      <c r="Q14" s="28"/>
      <c r="R14" s="28"/>
      <c r="S14" s="86" t="str">
        <f>CONCATENATE(K13, " &amp;&amp; ", '1_0_statistical_identification'!$S$164)</f>
        <v>selected (data('q402'), '97') &amp;&amp; (data('valid_overall') == 1)</v>
      </c>
      <c r="T14" s="86"/>
      <c r="U14" s="86"/>
      <c r="V14" s="28"/>
      <c r="Y14" s="14" t="b">
        <v>1</v>
      </c>
      <c r="Z14" s="161"/>
      <c r="AA14" s="19"/>
      <c r="AB14" s="19"/>
      <c r="AC14" s="14"/>
    </row>
    <row r="15" spans="1:29" s="1" customFormat="1" ht="15">
      <c r="A15" s="14"/>
      <c r="B15" s="129"/>
      <c r="C15" s="129"/>
      <c r="D15" s="28"/>
      <c r="E15" s="129"/>
      <c r="F15" s="129"/>
      <c r="G15" s="133"/>
      <c r="H15" s="134"/>
      <c r="I15" s="28"/>
      <c r="J15" s="43" t="s">
        <v>24</v>
      </c>
      <c r="K15" s="28"/>
      <c r="L15" s="19"/>
      <c r="M15" s="12"/>
      <c r="N15" s="14"/>
      <c r="O15" s="48"/>
      <c r="P15" s="31"/>
      <c r="Q15" s="28"/>
      <c r="R15" s="28"/>
      <c r="S15" s="31"/>
      <c r="T15" s="31"/>
      <c r="U15" s="31"/>
      <c r="V15" s="28"/>
      <c r="Y15" s="14"/>
      <c r="Z15" s="161"/>
      <c r="AA15" s="19"/>
      <c r="AB15" s="19"/>
      <c r="AC15" s="14"/>
    </row>
    <row r="16" spans="1:29" s="1" customFormat="1" ht="15">
      <c r="A16" s="14"/>
      <c r="B16" s="129"/>
      <c r="C16" s="129"/>
      <c r="D16" s="28"/>
      <c r="E16" s="129"/>
      <c r="F16" s="129"/>
      <c r="G16" s="133"/>
      <c r="H16" s="134"/>
      <c r="I16" s="28"/>
      <c r="J16" s="43" t="s">
        <v>21</v>
      </c>
      <c r="K16" s="28"/>
      <c r="L16" s="19"/>
      <c r="M16" s="12"/>
      <c r="N16" s="14"/>
      <c r="O16" s="48"/>
      <c r="P16" s="31"/>
      <c r="Q16" s="28"/>
      <c r="R16" s="28"/>
      <c r="S16" s="31"/>
      <c r="T16" s="31"/>
      <c r="U16" s="31"/>
      <c r="V16" s="28"/>
      <c r="Y16" s="14"/>
      <c r="Z16" s="106"/>
      <c r="AA16" s="19"/>
      <c r="AB16" s="19"/>
      <c r="AC16" s="14"/>
    </row>
    <row r="17" spans="1:29" s="1" customFormat="1" ht="15">
      <c r="A17" s="14"/>
      <c r="B17" s="129"/>
      <c r="C17" s="129"/>
      <c r="D17" s="28"/>
      <c r="E17" s="129"/>
      <c r="F17" s="129"/>
      <c r="G17" s="133"/>
      <c r="H17" s="134"/>
      <c r="I17" s="28"/>
      <c r="J17" s="43" t="s">
        <v>20</v>
      </c>
      <c r="K17" s="28"/>
      <c r="L17" s="19"/>
      <c r="M17" s="12"/>
      <c r="N17" s="14"/>
      <c r="O17" s="48"/>
      <c r="P17" s="31"/>
      <c r="Q17" s="28"/>
      <c r="R17" s="28"/>
      <c r="S17" s="31"/>
      <c r="T17" s="31"/>
      <c r="U17" s="31"/>
      <c r="V17" s="28"/>
      <c r="Y17" s="14"/>
      <c r="Z17" s="302"/>
      <c r="AA17" s="19"/>
      <c r="AB17" s="19"/>
      <c r="AC17" s="14"/>
    </row>
    <row r="18" spans="1:29" s="18" customFormat="1" ht="210">
      <c r="A18" s="18" t="str">
        <f t="shared" si="0"/>
        <v>q403</v>
      </c>
      <c r="B18" s="118" t="s">
        <v>403</v>
      </c>
      <c r="C18" s="407" t="str">
        <f>CONCATENATE("Hints: ", R18)</f>
        <v xml:space="preserve">Hints: ** Fill the response by observation then ask for verification, if needed </v>
      </c>
      <c r="D18" s="127" t="str">
        <f>CONCATENATE(INDEX(choices!D:D,MATCH(M18,choices!A:A,0)),"
",IF(M18=INDEX(choices!A:A,MATCH(M18,choices!A:A,0)+1),INDEX(choices!D:D,MATCH(M18,choices!A:A,0)+1),""),IF(M18=INDEX(choices!A:A,MATCH(M18,choices!A:A,0)+1), "
",""),IF(M18=INDEX(choices!A:A,MATCH(M18,choices!A:A,0)+2),INDEX(choices!D:D,MATCH(M18,choices!A:A,0)+2),""),IF(M18=INDEX(choices!A:A,MATCH(M18,choices!A:A,0)+2), "
",""),IF(M18=INDEX(choices!A:A,MATCH(M18,choices!A:A,0)+3),INDEX(choices!D:D,MATCH(M18,choices!A:A,0)+3),""),IF(M18=INDEX(choices!A:A,MATCH(M18,choices!A:A,0)+3), "
",""),IF(M18=INDEX(choices!A:A,MATCH(M18,choices!A:A,0)+4),INDEX(choices!D:D,MATCH(M18,choices!A:A,0)+4),""),IF(M18=INDEX(choices!A:A,MATCH(M18,choices!A:A,0)+4), "
",""),IF(M18=INDEX(choices!A:A,MATCH(M18,choices!A:A,0)+5),INDEX(choices!D:D,MATCH(M18,choices!A:A,0)+5),""),IF(M18=INDEX(choices!A:A,MATCH(M18,choices!A:A,0)+5), "
",""),IF(M18=INDEX(choices!A:A,MATCH(M18,choices!A:A,0)+6),INDEX(choices!D:D,MATCH(M18,choices!A:A,0)+6),""),IF(M18=INDEX(choices!A:A,MATCH(M18,choices!A:A,0)+6), "
",""),IF(M18=INDEX(choices!A:A,MATCH(M18,choices!A:A,0)+7),INDEX(choices!D:D,MATCH(M18,choices!A:A,0)+7),""),IF(M18=INDEX(choices!A:A,MATCH(M18,choices!A:A,0)+7), "
",""),IF(M18=INDEX(choices!A:A,MATCH(M18,choices!A:A,0)+8),INDEX(choices!D:D,MATCH(M18,choices!A:A,0)+8),""),IF(M18=INDEX(choices!A:A,MATCH(M18,choices!A:A,0)+8), "
",""),IF(M18=INDEX(choices!A:A,MATCH(M18,choices!A:A,0)+9),INDEX(choices!D:D,MATCH(M18,choices!A:A,0)+9),""),IF(M18=INDEX(choices!A:A,MATCH(M18,choices!A:A,0)+9), "
",""),IF(M18=INDEX(choices!A:A,MATCH(M18,choices!A:A,0)+10),INDEX(choices!D:D,MATCH(M18,choices!A:A,0)+10),""),IF(M18=INDEX(choices!A:A,MATCH(M18,choices!A:A,0)+10), "
",""),IF(M18=INDEX(choices!A:A,MATCH(M18,choices!A:A,0)+11),INDEX(choices!D:D,MATCH(M18,choices!A:A,0)+11),""),IF(M18=INDEX(choices!A:A,MATCH(M18,choices!A:A,0)+11), "
",""),IF(M18=INDEX(choices!A:A,MATCH(M18,choices!A:A,0)+12),INDEX(choices!D:D,MATCH(M18,choices!A:A,0)+12),""),IF(M18=INDEX(choices!A:A,MATCH(M18,choices!A:A,0)+12), "
",""),IF(M18=INDEX(choices!A:A,MATCH(M18,choices!A:A,0)+13),INDEX(choices!D:D,MATCH(M18,choices!A:A,0)+13),""),IF(M18=INDEX(choices!A:A,MATCH(M18,choices!A:A,0)+13), "
",""),IF(M18=INDEX(choices!A:A,MATCH(M18,choices!A:A,0)+14),INDEX(choices!D:D,MATCH(M18,choices!A:A,0)+14),""),IF(M18=INDEX(choices!A:A,MATCH(M18,choices!A:A,0)+14), "
",""),IF(M18=INDEX(choices!A:A,MATCH(M18,choices!A:A,0)+15),INDEX(choices!D:D,MATCH(M18,choices!A:A,0)+15),""),IF(M18=INDEX(choices!A:A,MATCH(M18,choices!A:A,0)+15), "
",""),IF(M18=INDEX(choices!A:A,MATCH(M18,choices!A:A,0)+16),INDEX(choices!D:D,MATCH(M18,choices!A:A,0)+16),""),IF(M18=INDEX(choices!A:A,MATCH(M18,choices!A:A,0)+16), "
",""),IF(M18=INDEX(choices!A:A,MATCH(M18,choices!A:A,0)+17),INDEX(choices!D:D,MATCH(M18,choices!A:A,0)+17),""),IF(M18=INDEX(choices!A:A,MATCH(M18,choices!A:A,0)+17), "
",""),IF(M18=INDEX(choices!A:A,MATCH(M18,choices!A:A,0)+18),INDEX(choices!D:D,MATCH(M18,choices!A:A,0)+18),""),IF(M18=INDEX(choices!A:A,MATCH(M18,choices!A:A,0)+18), "
",""),IF(M18=INDEX(choices!A:A,MATCH(M18,choices!A:A,0)+19),INDEX(choices!D:D,MATCH(M18,choices!A:A,0)+19),""),IF(M18=INDEX(choices!A:A,MATCH(M18,choices!A:A,0)+19), "
",""),IF(M18=INDEX(choices!A:A,MATCH(M18,choices!A:A,0)+20),INDEX(choices!D:D,MATCH(M18,choices!A:A,0)+20),""),IF(M18=INDEX(choices!A:A,MATCH(M18,choices!A:A,0)+20), "
",""))</f>
        <v xml:space="preserve">1. Brick, stone and concrete
2. Brick, stone and mud
3. Wood and tree branches
4. Reinforced concrete
5. Mud bricks
6. No walls
97. Other
</v>
      </c>
      <c r="E18" s="310" t="s">
        <v>210</v>
      </c>
      <c r="F18" s="407" t="str">
        <f>CONCATENATE("Hints: ",Q18, )</f>
        <v>Hints: ** يفضل استيفاء السؤال بالملاحظة ثم اسأل للتحقق عند الحاجة</v>
      </c>
      <c r="G18" s="67" t="str">
        <f>CONCATENATE(INDEX(choices!C:C,MATCH(M18,choices!A:A,0)),"
",IF(M18=INDEX(choices!A:A,MATCH(M18,choices!A:A,0)+1),INDEX(choices!C:C,MATCH(M18,choices!A:A,0)+1),""),IF(M18=INDEX(choices!A:A,MATCH(M18,choices!A:A,0)+1), "
",""),IF(M18=INDEX(choices!A:A,MATCH(M18,choices!A:A,0)+2),INDEX(choices!C:C,MATCH(M18,choices!A:A,0)+2),""),IF(M18=INDEX(choices!A:A,MATCH(M18,choices!A:A,0)+2), "
",""),IF(M18=INDEX(choices!A:A,MATCH(M18,choices!A:A,0)+3),INDEX(choices!C:C,MATCH(M18,choices!A:A,0)+3),""),IF(M18=INDEX(choices!A:A,MATCH(M18,choices!A:A,0)+3), "
",""),IF(M18=INDEX(choices!A:A,MATCH(M18,choices!A:A,0)+4),INDEX(choices!C:C,MATCH(M18,choices!A:A,0)+4),""),IF(M18=INDEX(choices!A:A,MATCH(M18,choices!A:A,0)+4), "
",""),IF(M18=INDEX(choices!A:A,MATCH(M18,choices!A:A,0)+5),INDEX(choices!C:C,MATCH(M18,choices!A:A,0)+5),""),IF(M18=INDEX(choices!A:A,MATCH(M18,choices!A:A,0)+5), "
",""),IF(M18=INDEX(choices!A:A,MATCH(M18,choices!A:A,0)+6),INDEX(choices!C:C,MATCH(M18,choices!A:A,0)+6),""),IF(M18=INDEX(choices!A:A,MATCH(M18,choices!A:A,0)+6), "
",""),IF(M18=INDEX(choices!A:A,MATCH(M18,choices!A:A,0)+7),INDEX(choices!C:C,MATCH(M18,choices!A:A,0)+7),""),IF(M18=INDEX(choices!A:A,MATCH(M18,choices!A:A,0)+7), "
",""),IF(M18=INDEX(choices!A:A,MATCH(M18,choices!A:A,0)+8),INDEX(choices!C:C,MATCH(M18,choices!A:A,0)+8),""),IF(M18=INDEX(choices!A:A,MATCH(M18,choices!A:A,0)+8), "
",""),IF(M18=INDEX(choices!A:A,MATCH(M18,choices!A:A,0)+9),INDEX(choices!C:C,MATCH(M18,choices!A:A,0)+9),""),IF(M18=INDEX(choices!A:A,MATCH(M18,choices!A:A,0)+9), "
",""),IF(M18=INDEX(choices!A:A,MATCH(M18,choices!A:A,0)+10),INDEX(choices!C:C,MATCH(M18,choices!A:A,0)+10),""),IF(M18=INDEX(choices!A:A,MATCH(M18,choices!A:A,0)+10), "
",""),IF(M18=INDEX(choices!A:A,MATCH(M18,choices!A:A,0)+11),INDEX(choices!C:C,MATCH(M18,choices!A:A,0)+11),""),IF(M18=INDEX(choices!A:A,MATCH(M18,choices!A:A,0)+11), "
",""),IF(M18=INDEX(choices!A:A,MATCH(M18,choices!A:A,0)+12),INDEX(choices!C:C,MATCH(M18,choices!A:A,0)+12),""),IF(M18=INDEX(choices!A:A,MATCH(M18,choices!A:A,0)+12), "
",""),IF(M18=INDEX(choices!A:A,MATCH(M18,choices!A:A,0)+13),INDEX(choices!C:C,MATCH(M18,choices!A:A,0)+13),""),IF(M18=INDEX(choices!A:A,MATCH(M18,choices!A:A,0)+13), "
",""),IF(M18=INDEX(choices!A:A,MATCH(M18,choices!A:A,0)+14),INDEX(choices!C:C,MATCH(M18,choices!A:A,0)+14),""),IF(M18=INDEX(choices!A:A,MATCH(M18,choices!A:A,0)+14), "
",""),IF(M18=INDEX(choices!A:A,MATCH(M18,choices!A:A,0)+15),INDEX(choices!C:C,MATCH(M18,choices!A:A,0)+15),""),IF(M18=INDEX(choices!A:A,MATCH(M18,choices!A:A,0)+15), "
",""),IF(M18=INDEX(choices!A:A,MATCH(M18,choices!A:A,0)+16),INDEX(choices!C:C,MATCH(M18,choices!A:A,0)+16),""),IF(M18=INDEX(choices!A:A,MATCH(M18,choices!A:A,0)+16), "
",""),IF(M18=INDEX(choices!A:A,MATCH(M18,choices!A:A,0)+17),INDEX(choices!C:C,MATCH(M18,choices!A:A,0)+17),""),IF(M18=INDEX(choices!A:A,MATCH(M18,choices!A:A,0)+17), "
",""),IF(M18=INDEX(choices!A:A,MATCH(M18,choices!A:A,0)+18),INDEX(choices!C:C,MATCH(M18,choices!A:A,0)+18),""),IF(M18=INDEX(choices!A:A,MATCH(M18,choices!A:A,0)+18), "
",""),IF(M18=INDEX(choices!A:A,MATCH(M18,choices!A:A,0)+19),INDEX(choices!C:C,MATCH(M18,choices!A:A,0)+19),""),IF(M18=INDEX(choices!A:A,MATCH(M18,choices!A:A,0)+19), "
",""),IF(M18=INDEX(choices!A:A,MATCH(M18,choices!A:A,0)+20),INDEX(choices!C:C,MATCH(M18,choices!A:A,0)+20),""),IF(M18=INDEX(choices!A:A,MATCH(M18,choices!A:A,0)+20), "
","")," ")</f>
        <v xml:space="preserve">1. الطوب، الحجر والأسمنت
2. الطوب، الحجر والطين
3. الخشب وفروع الشجر
4. الأسمنت المسلح  -- الخرسانة 
5. الطوب النيئ
6. لا يوجد جدران للمسكن
97. أخرى
 </v>
      </c>
      <c r="H18" s="67" t="s">
        <v>266</v>
      </c>
      <c r="I18" s="30">
        <f>I12+1</f>
        <v>403</v>
      </c>
      <c r="K18" s="21"/>
      <c r="L18" s="21" t="s">
        <v>18</v>
      </c>
      <c r="M18" s="21" t="s">
        <v>28</v>
      </c>
      <c r="N18" s="21" t="str">
        <f>CONCATENATE("q", I18)</f>
        <v>q403</v>
      </c>
      <c r="O18" s="48" t="str">
        <f>CONCATENATE(I18,". ",E18)</f>
        <v>403. ما هي المادة الأساسية المستخدمة في بناء الجدار الخارجي؟</v>
      </c>
      <c r="P18" s="127" t="str">
        <f>CONCATENATE(A18, ". ", B18)</f>
        <v>q403. What is the material of the external walls?</v>
      </c>
      <c r="Q18" s="468" t="s">
        <v>1539</v>
      </c>
      <c r="R18" s="71" t="s">
        <v>1540</v>
      </c>
      <c r="S18" s="127" t="str">
        <f>'1_0_statistical_identification'!S164</f>
        <v>(data('valid_overall') == 1)</v>
      </c>
      <c r="T18" s="127"/>
      <c r="U18" s="127"/>
      <c r="V18" s="30"/>
      <c r="Y18" s="18" t="b">
        <v>1</v>
      </c>
      <c r="Z18" s="64"/>
      <c r="AA18" s="19"/>
      <c r="AB18" s="19"/>
      <c r="AC18" s="114"/>
    </row>
    <row r="19" spans="1:29" s="1" customFormat="1" ht="30">
      <c r="A19" s="14"/>
      <c r="B19" s="129"/>
      <c r="C19" s="129"/>
      <c r="D19" s="28"/>
      <c r="E19" s="129"/>
      <c r="F19" s="129"/>
      <c r="G19" s="133"/>
      <c r="H19" s="133"/>
      <c r="I19" s="28"/>
      <c r="J19" s="43" t="s">
        <v>23</v>
      </c>
      <c r="K19" s="28" t="str">
        <f>CONCATENATE("selected (data('",A18,"'), '97')")</f>
        <v>selected (data('q403'), '97')</v>
      </c>
      <c r="L19" s="19"/>
      <c r="M19" s="12"/>
      <c r="N19" s="14"/>
      <c r="O19" s="48"/>
      <c r="P19" s="31"/>
      <c r="Q19" s="28"/>
      <c r="R19" s="28"/>
      <c r="S19" s="31"/>
      <c r="T19" s="31"/>
      <c r="U19" s="31"/>
      <c r="V19" s="28"/>
      <c r="Y19" s="14"/>
      <c r="Z19" s="30"/>
      <c r="AA19" s="19"/>
      <c r="AB19" s="19"/>
      <c r="AC19" s="14"/>
    </row>
    <row r="20" spans="1:29" s="1" customFormat="1" ht="75">
      <c r="A20" s="14" t="str">
        <f>CONCATENATE("q",I20)</f>
        <v>q403_other</v>
      </c>
      <c r="B20" s="129" t="s">
        <v>393</v>
      </c>
      <c r="C20" s="129"/>
      <c r="D20" s="28"/>
      <c r="E20" s="129" t="s">
        <v>1088</v>
      </c>
      <c r="F20" s="129"/>
      <c r="G20" s="133"/>
      <c r="H20" s="133"/>
      <c r="I20" s="28" t="str">
        <f>CONCATENATE(I18,"_other")</f>
        <v>403_other</v>
      </c>
      <c r="J20" s="43"/>
      <c r="K20" s="28"/>
      <c r="L20" s="19" t="s">
        <v>8</v>
      </c>
      <c r="M20" s="12"/>
      <c r="N20" s="14" t="str">
        <f>CONCATENATE("q",I20)</f>
        <v>q403_other</v>
      </c>
      <c r="O20" s="86" t="str">
        <f>CONCATENATE(I20,". ",E20)</f>
        <v>403_other. أخرى</v>
      </c>
      <c r="P20" s="86" t="str">
        <f>CONCATENATE($I20,". ",B20)</f>
        <v xml:space="preserve">403_other. Other: </v>
      </c>
      <c r="Q20" s="28"/>
      <c r="R20" s="28"/>
      <c r="S20" s="86" t="str">
        <f>CONCATENATE(K19, " &amp;&amp; ", '1_0_statistical_identification'!$S$164)</f>
        <v>selected (data('q403'), '97') &amp;&amp; (data('valid_overall') == 1)</v>
      </c>
      <c r="T20" s="86"/>
      <c r="U20" s="86"/>
      <c r="V20" s="28"/>
      <c r="Y20" s="14" t="b">
        <v>1</v>
      </c>
      <c r="Z20" s="30"/>
      <c r="AA20" s="19"/>
      <c r="AB20" s="19"/>
      <c r="AC20" s="14"/>
    </row>
    <row r="21" spans="1:29" s="1" customFormat="1" ht="15">
      <c r="A21" s="14"/>
      <c r="B21" s="129"/>
      <c r="C21" s="129"/>
      <c r="D21" s="28"/>
      <c r="E21" s="129"/>
      <c r="F21" s="129"/>
      <c r="G21" s="133"/>
      <c r="H21" s="134"/>
      <c r="I21" s="28"/>
      <c r="J21" s="43" t="s">
        <v>24</v>
      </c>
      <c r="K21" s="28"/>
      <c r="L21" s="19"/>
      <c r="M21" s="12"/>
      <c r="N21" s="14"/>
      <c r="O21" s="48"/>
      <c r="P21" s="31"/>
      <c r="Q21" s="28"/>
      <c r="R21" s="28"/>
      <c r="S21" s="31"/>
      <c r="T21" s="31"/>
      <c r="U21" s="31"/>
      <c r="V21" s="28"/>
      <c r="Y21" s="14"/>
      <c r="Z21" s="64"/>
      <c r="AA21" s="19"/>
      <c r="AB21" s="19"/>
      <c r="AC21" s="14"/>
    </row>
    <row r="22" spans="1:29" s="1" customFormat="1" ht="15">
      <c r="A22" s="14"/>
      <c r="B22" s="129"/>
      <c r="C22" s="129"/>
      <c r="D22" s="28"/>
      <c r="E22" s="129"/>
      <c r="F22" s="129"/>
      <c r="G22" s="133"/>
      <c r="H22" s="134"/>
      <c r="I22" s="28"/>
      <c r="J22" s="43" t="s">
        <v>21</v>
      </c>
      <c r="K22" s="28"/>
      <c r="L22" s="19"/>
      <c r="M22" s="12"/>
      <c r="N22" s="14"/>
      <c r="O22" s="48"/>
      <c r="P22" s="31"/>
      <c r="Q22" s="28"/>
      <c r="R22" s="28"/>
      <c r="S22" s="31"/>
      <c r="T22" s="31"/>
      <c r="U22" s="31"/>
      <c r="V22" s="28"/>
      <c r="Y22" s="14"/>
      <c r="Z22" s="64"/>
      <c r="AA22" s="19"/>
      <c r="AB22" s="19"/>
      <c r="AC22" s="14"/>
    </row>
    <row r="23" spans="1:29" s="1" customFormat="1" ht="15">
      <c r="A23" s="14"/>
      <c r="B23" s="129"/>
      <c r="C23" s="129"/>
      <c r="D23" s="28"/>
      <c r="E23" s="129"/>
      <c r="F23" s="129"/>
      <c r="G23" s="133"/>
      <c r="H23" s="134"/>
      <c r="I23" s="28"/>
      <c r="J23" s="43" t="s">
        <v>20</v>
      </c>
      <c r="K23" s="28"/>
      <c r="L23" s="19"/>
      <c r="M23" s="12"/>
      <c r="N23" s="14"/>
      <c r="O23" s="48"/>
      <c r="P23" s="31"/>
      <c r="Q23" s="28"/>
      <c r="R23" s="28"/>
      <c r="S23" s="31"/>
      <c r="T23" s="31"/>
      <c r="U23" s="31"/>
      <c r="V23" s="28"/>
      <c r="Y23" s="14"/>
      <c r="Z23" s="64"/>
      <c r="AA23" s="19"/>
      <c r="AB23" s="19"/>
      <c r="AC23" s="14"/>
    </row>
    <row r="24" spans="1:29" s="18" customFormat="1" ht="150">
      <c r="A24" s="18" t="str">
        <f t="shared" si="0"/>
        <v>q404</v>
      </c>
      <c r="B24" s="67" t="s">
        <v>330</v>
      </c>
      <c r="C24" s="407" t="str">
        <f>CONCATENATE("Hints: ", R24)</f>
        <v xml:space="preserve">Hints: ** Fill the response by observation then ask for verification, if needed </v>
      </c>
      <c r="D24" s="127" t="str">
        <f>CONCATENATE(INDEX(choices!D:D,MATCH(M24,choices!A:A,0)),"
",IF(M24=INDEX(choices!A:A,MATCH(M24,choices!A:A,0)+1),INDEX(choices!D:D,MATCH(M24,choices!A:A,0)+1),""),IF(M24=INDEX(choices!A:A,MATCH(M24,choices!A:A,0)+1), "
",""),IF(M24=INDEX(choices!A:A,MATCH(M24,choices!A:A,0)+2),INDEX(choices!D:D,MATCH(M24,choices!A:A,0)+2),""),IF(M24=INDEX(choices!A:A,MATCH(M24,choices!A:A,0)+2), "
",""),IF(M24=INDEX(choices!A:A,MATCH(M24,choices!A:A,0)+3),INDEX(choices!D:D,MATCH(M24,choices!A:A,0)+3),""),IF(M24=INDEX(choices!A:A,MATCH(M24,choices!A:A,0)+3), "
",""),IF(M24=INDEX(choices!A:A,MATCH(M24,choices!A:A,0)+4),INDEX(choices!D:D,MATCH(M24,choices!A:A,0)+4),""),IF(M24=INDEX(choices!A:A,MATCH(M24,choices!A:A,0)+4), "
",""),IF(M24=INDEX(choices!A:A,MATCH(M24,choices!A:A,0)+5),INDEX(choices!D:D,MATCH(M24,choices!A:A,0)+5),""),IF(M24=INDEX(choices!A:A,MATCH(M24,choices!A:A,0)+5), "
",""),IF(M24=INDEX(choices!A:A,MATCH(M24,choices!A:A,0)+6),INDEX(choices!D:D,MATCH(M24,choices!A:A,0)+6),""),IF(M24=INDEX(choices!A:A,MATCH(M24,choices!A:A,0)+6), "
",""),IF(M24=INDEX(choices!A:A,MATCH(M24,choices!A:A,0)+7),INDEX(choices!D:D,MATCH(M24,choices!A:A,0)+7),""),IF(M24=INDEX(choices!A:A,MATCH(M24,choices!A:A,0)+7), "
",""),IF(M24=INDEX(choices!A:A,MATCH(M24,choices!A:A,0)+8),INDEX(choices!D:D,MATCH(M24,choices!A:A,0)+8),""),IF(M24=INDEX(choices!A:A,MATCH(M24,choices!A:A,0)+8), "
",""),IF(M24=INDEX(choices!A:A,MATCH(M24,choices!A:A,0)+9),INDEX(choices!D:D,MATCH(M24,choices!A:A,0)+9),""),IF(M24=INDEX(choices!A:A,MATCH(M24,choices!A:A,0)+9), "
",""),IF(M24=INDEX(choices!A:A,MATCH(M24,choices!A:A,0)+10),INDEX(choices!D:D,MATCH(M24,choices!A:A,0)+10),""),IF(M24=INDEX(choices!A:A,MATCH(M24,choices!A:A,0)+10), "
",""),IF(M24=INDEX(choices!A:A,MATCH(M24,choices!A:A,0)+11),INDEX(choices!D:D,MATCH(M24,choices!A:A,0)+11),""),IF(M24=INDEX(choices!A:A,MATCH(M24,choices!A:A,0)+11), "
",""),IF(M24=INDEX(choices!A:A,MATCH(M24,choices!A:A,0)+12),INDEX(choices!D:D,MATCH(M24,choices!A:A,0)+12),""),IF(M24=INDEX(choices!A:A,MATCH(M24,choices!A:A,0)+12), "
",""),IF(M24=INDEX(choices!A:A,MATCH(M24,choices!A:A,0)+13),INDEX(choices!D:D,MATCH(M24,choices!A:A,0)+13),""),IF(M24=INDEX(choices!A:A,MATCH(M24,choices!A:A,0)+13), "
",""),IF(M24=INDEX(choices!A:A,MATCH(M24,choices!A:A,0)+14),INDEX(choices!D:D,MATCH(M24,choices!A:A,0)+14),""),IF(M24=INDEX(choices!A:A,MATCH(M24,choices!A:A,0)+14), "
",""),IF(M24=INDEX(choices!A:A,MATCH(M24,choices!A:A,0)+15),INDEX(choices!D:D,MATCH(M24,choices!A:A,0)+15),""),IF(M24=INDEX(choices!A:A,MATCH(M24,choices!A:A,0)+15), "
",""),IF(M24=INDEX(choices!A:A,MATCH(M24,choices!A:A,0)+16),INDEX(choices!D:D,MATCH(M24,choices!A:A,0)+16),""),IF(M24=INDEX(choices!A:A,MATCH(M24,choices!A:A,0)+16), "
",""),IF(M24=INDEX(choices!A:A,MATCH(M24,choices!A:A,0)+17),INDEX(choices!D:D,MATCH(M24,choices!A:A,0)+17),""),IF(M24=INDEX(choices!A:A,MATCH(M24,choices!A:A,0)+17), "
",""),IF(M24=INDEX(choices!A:A,MATCH(M24,choices!A:A,0)+18),INDEX(choices!D:D,MATCH(M24,choices!A:A,0)+18),""),IF(M24=INDEX(choices!A:A,MATCH(M24,choices!A:A,0)+18), "
",""),IF(M24=INDEX(choices!A:A,MATCH(M24,choices!A:A,0)+19),INDEX(choices!D:D,MATCH(M24,choices!A:A,0)+19),""),IF(M24=INDEX(choices!A:A,MATCH(M24,choices!A:A,0)+19), "
",""),IF(M24=INDEX(choices!A:A,MATCH(M24,choices!A:A,0)+20),INDEX(choices!D:D,MATCH(M24,choices!A:A,0)+20),""),IF(M24=INDEX(choices!A:A,MATCH(M24,choices!A:A,0)+20), "
",""))</f>
        <v xml:space="preserve">1. Straw
2. Mud
3. Wood
4. Steel (galvanised)
5. Reinforced concrete
6. Tiles
97. Other
</v>
      </c>
      <c r="E24" s="310" t="s">
        <v>1090</v>
      </c>
      <c r="F24" s="407" t="str">
        <f>CONCATENATE("Hints: ",Q24, )</f>
        <v>Hints: ** يفضل استيفاء السؤال بالملاحظة ثم اسأل للتحقق عند الحاجة</v>
      </c>
      <c r="G24" s="67" t="str">
        <f>CONCATENATE(INDEX(choices!C:C,MATCH(M24,choices!A:A,0)),"
",IF(M24=INDEX(choices!A:A,MATCH(M24,choices!A:A,0)+1),INDEX(choices!C:C,MATCH(M24,choices!A:A,0)+1),""),IF(M24=INDEX(choices!A:A,MATCH(M24,choices!A:A,0)+1), "
",""),IF(M24=INDEX(choices!A:A,MATCH(M24,choices!A:A,0)+2),INDEX(choices!C:C,MATCH(M24,choices!A:A,0)+2),""),IF(M24=INDEX(choices!A:A,MATCH(M24,choices!A:A,0)+2), "
",""),IF(M24=INDEX(choices!A:A,MATCH(M24,choices!A:A,0)+3),INDEX(choices!C:C,MATCH(M24,choices!A:A,0)+3),""),IF(M24=INDEX(choices!A:A,MATCH(M24,choices!A:A,0)+3), "
",""),IF(M24=INDEX(choices!A:A,MATCH(M24,choices!A:A,0)+4),INDEX(choices!C:C,MATCH(M24,choices!A:A,0)+4),""),IF(M24=INDEX(choices!A:A,MATCH(M24,choices!A:A,0)+4), "
",""),IF(M24=INDEX(choices!A:A,MATCH(M24,choices!A:A,0)+5),INDEX(choices!C:C,MATCH(M24,choices!A:A,0)+5),""),IF(M24=INDEX(choices!A:A,MATCH(M24,choices!A:A,0)+5), "
",""),IF(M24=INDEX(choices!A:A,MATCH(M24,choices!A:A,0)+6),INDEX(choices!C:C,MATCH(M24,choices!A:A,0)+6),""),IF(M24=INDEX(choices!A:A,MATCH(M24,choices!A:A,0)+6), "
",""),IF(M24=INDEX(choices!A:A,MATCH(M24,choices!A:A,0)+7),INDEX(choices!C:C,MATCH(M24,choices!A:A,0)+7),""),IF(M24=INDEX(choices!A:A,MATCH(M24,choices!A:A,0)+7), "
",""),IF(M24=INDEX(choices!A:A,MATCH(M24,choices!A:A,0)+8),INDEX(choices!C:C,MATCH(M24,choices!A:A,0)+8),""),IF(M24=INDEX(choices!A:A,MATCH(M24,choices!A:A,0)+8), "
",""),IF(M24=INDEX(choices!A:A,MATCH(M24,choices!A:A,0)+9),INDEX(choices!C:C,MATCH(M24,choices!A:A,0)+9),""),IF(M24=INDEX(choices!A:A,MATCH(M24,choices!A:A,0)+9), "
",""),IF(M24=INDEX(choices!A:A,MATCH(M24,choices!A:A,0)+10),INDEX(choices!C:C,MATCH(M24,choices!A:A,0)+10),""),IF(M24=INDEX(choices!A:A,MATCH(M24,choices!A:A,0)+10), "
",""),IF(M24=INDEX(choices!A:A,MATCH(M24,choices!A:A,0)+11),INDEX(choices!C:C,MATCH(M24,choices!A:A,0)+11),""),IF(M24=INDEX(choices!A:A,MATCH(M24,choices!A:A,0)+11), "
",""),IF(M24=INDEX(choices!A:A,MATCH(M24,choices!A:A,0)+12),INDEX(choices!C:C,MATCH(M24,choices!A:A,0)+12),""),IF(M24=INDEX(choices!A:A,MATCH(M24,choices!A:A,0)+12), "
",""),IF(M24=INDEX(choices!A:A,MATCH(M24,choices!A:A,0)+13),INDEX(choices!C:C,MATCH(M24,choices!A:A,0)+13),""),IF(M24=INDEX(choices!A:A,MATCH(M24,choices!A:A,0)+13), "
",""),IF(M24=INDEX(choices!A:A,MATCH(M24,choices!A:A,0)+14),INDEX(choices!C:C,MATCH(M24,choices!A:A,0)+14),""),IF(M24=INDEX(choices!A:A,MATCH(M24,choices!A:A,0)+14), "
",""),IF(M24=INDEX(choices!A:A,MATCH(M24,choices!A:A,0)+15),INDEX(choices!C:C,MATCH(M24,choices!A:A,0)+15),""),IF(M24=INDEX(choices!A:A,MATCH(M24,choices!A:A,0)+15), "
",""),IF(M24=INDEX(choices!A:A,MATCH(M24,choices!A:A,0)+16),INDEX(choices!C:C,MATCH(M24,choices!A:A,0)+16),""),IF(M24=INDEX(choices!A:A,MATCH(M24,choices!A:A,0)+16), "
",""),IF(M24=INDEX(choices!A:A,MATCH(M24,choices!A:A,0)+17),INDEX(choices!C:C,MATCH(M24,choices!A:A,0)+17),""),IF(M24=INDEX(choices!A:A,MATCH(M24,choices!A:A,0)+17), "
",""),IF(M24=INDEX(choices!A:A,MATCH(M24,choices!A:A,0)+18),INDEX(choices!C:C,MATCH(M24,choices!A:A,0)+18),""),IF(M24=INDEX(choices!A:A,MATCH(M24,choices!A:A,0)+18), "
",""),IF(M24=INDEX(choices!A:A,MATCH(M24,choices!A:A,0)+19),INDEX(choices!C:C,MATCH(M24,choices!A:A,0)+19),""),IF(M24=INDEX(choices!A:A,MATCH(M24,choices!A:A,0)+19), "
",""),IF(M24=INDEX(choices!A:A,MATCH(M24,choices!A:A,0)+20),INDEX(choices!C:C,MATCH(M24,choices!A:A,0)+20),""),IF(M24=INDEX(choices!A:A,MATCH(M24,choices!A:A,0)+20), "
","")," ")</f>
        <v xml:space="preserve">1. قش
2. طين
3. الواح خشبية
4. حديد مجلفن
5. الأسمنت المسلح  -- الخرسانة 
6. بلاط وألواح 
97. أخرى
 </v>
      </c>
      <c r="H24" s="67" t="s">
        <v>266</v>
      </c>
      <c r="I24" s="30">
        <f>I18+1</f>
        <v>404</v>
      </c>
      <c r="K24" s="21"/>
      <c r="L24" s="21" t="s">
        <v>18</v>
      </c>
      <c r="M24" s="21" t="s">
        <v>29</v>
      </c>
      <c r="N24" s="21" t="str">
        <f>CONCATENATE("q", I24)</f>
        <v>q404</v>
      </c>
      <c r="O24" s="48" t="str">
        <f>CONCATENATE(I24,". ",E24)</f>
        <v xml:space="preserve">404. ما هي المادة الأساسية المستخدمة في سقف المسكن؟ </v>
      </c>
      <c r="P24" s="127" t="str">
        <f>CONCATENATE(A24, ". ", B24)</f>
        <v>q404. What is the material of the roof?</v>
      </c>
      <c r="Q24" s="468" t="s">
        <v>1539</v>
      </c>
      <c r="R24" s="71" t="s">
        <v>1540</v>
      </c>
      <c r="S24" s="127" t="str">
        <f>'1_0_statistical_identification'!S164</f>
        <v>(data('valid_overall') == 1)</v>
      </c>
      <c r="T24" s="127"/>
      <c r="U24" s="127"/>
      <c r="V24" s="30"/>
      <c r="Y24" s="18" t="b">
        <v>1</v>
      </c>
      <c r="Z24" s="64"/>
      <c r="AA24" s="19"/>
      <c r="AB24" s="19"/>
      <c r="AC24" s="114"/>
    </row>
    <row r="25" spans="1:29" s="1" customFormat="1" ht="30">
      <c r="A25" s="14"/>
      <c r="B25" s="129"/>
      <c r="C25" s="129"/>
      <c r="D25" s="28"/>
      <c r="E25" s="129"/>
      <c r="F25" s="129"/>
      <c r="G25" s="133"/>
      <c r="H25" s="133"/>
      <c r="I25" s="28"/>
      <c r="J25" s="43" t="s">
        <v>23</v>
      </c>
      <c r="K25" s="28" t="str">
        <f>CONCATENATE("selected (data('",A24,"'), '97')")</f>
        <v>selected (data('q404'), '97')</v>
      </c>
      <c r="L25" s="19"/>
      <c r="M25" s="12"/>
      <c r="N25" s="14"/>
      <c r="O25" s="48"/>
      <c r="P25" s="31"/>
      <c r="Q25" s="28"/>
      <c r="R25" s="28"/>
      <c r="S25" s="31"/>
      <c r="T25" s="31"/>
      <c r="U25" s="31"/>
      <c r="V25" s="28"/>
      <c r="Y25" s="14"/>
      <c r="Z25" s="64"/>
      <c r="AA25" s="19"/>
      <c r="AB25" s="19"/>
      <c r="AC25" s="14"/>
    </row>
    <row r="26" spans="1:29" s="1" customFormat="1" ht="75">
      <c r="A26" s="14" t="str">
        <f>CONCATENATE("q",I26)</f>
        <v>q404_other</v>
      </c>
      <c r="B26" s="129" t="s">
        <v>393</v>
      </c>
      <c r="C26" s="129"/>
      <c r="D26" s="28"/>
      <c r="E26" s="129" t="s">
        <v>1088</v>
      </c>
      <c r="F26" s="129"/>
      <c r="G26" s="133"/>
      <c r="H26" s="133"/>
      <c r="I26" s="28" t="str">
        <f>CONCATENATE(I24,"_other")</f>
        <v>404_other</v>
      </c>
      <c r="J26" s="43"/>
      <c r="K26" s="28"/>
      <c r="L26" s="19" t="s">
        <v>8</v>
      </c>
      <c r="M26" s="12"/>
      <c r="N26" s="14" t="str">
        <f>CONCATENATE("q",I26)</f>
        <v>q404_other</v>
      </c>
      <c r="O26" s="86" t="str">
        <f>CONCATENATE(I26,". ",E26)</f>
        <v>404_other. أخرى</v>
      </c>
      <c r="P26" s="86" t="str">
        <f>CONCATENATE($I26,". ",B26)</f>
        <v xml:space="preserve">404_other. Other: </v>
      </c>
      <c r="Q26" s="28"/>
      <c r="R26" s="28"/>
      <c r="S26" s="86" t="str">
        <f>CONCATENATE(K25, " &amp;&amp; ", '1_0_statistical_identification'!$S$164)</f>
        <v>selected (data('q404'), '97') &amp;&amp; (data('valid_overall') == 1)</v>
      </c>
      <c r="T26" s="86"/>
      <c r="U26" s="86"/>
      <c r="V26" s="28"/>
      <c r="Y26" s="14" t="b">
        <v>1</v>
      </c>
      <c r="Z26" s="64"/>
      <c r="AA26" s="19"/>
      <c r="AB26" s="19"/>
      <c r="AC26" s="14"/>
    </row>
    <row r="27" spans="1:29" s="1" customFormat="1" ht="15">
      <c r="A27" s="14"/>
      <c r="B27" s="129"/>
      <c r="C27" s="129"/>
      <c r="D27" s="28"/>
      <c r="E27" s="129"/>
      <c r="F27" s="129"/>
      <c r="G27" s="133"/>
      <c r="H27" s="134"/>
      <c r="I27" s="28"/>
      <c r="J27" s="43" t="s">
        <v>24</v>
      </c>
      <c r="K27" s="28"/>
      <c r="L27" s="19"/>
      <c r="M27" s="12"/>
      <c r="N27" s="14"/>
      <c r="O27" s="48"/>
      <c r="P27" s="31"/>
      <c r="Q27" s="28"/>
      <c r="R27" s="28"/>
      <c r="S27" s="31"/>
      <c r="T27" s="31"/>
      <c r="U27" s="31"/>
      <c r="V27" s="28"/>
      <c r="Y27" s="14"/>
      <c r="Z27" s="64"/>
      <c r="AA27" s="19"/>
      <c r="AB27" s="19"/>
      <c r="AC27" s="14"/>
    </row>
    <row r="28" spans="1:29" s="1" customFormat="1" ht="15">
      <c r="A28" s="14"/>
      <c r="B28" s="129"/>
      <c r="C28" s="129"/>
      <c r="D28" s="28"/>
      <c r="E28" s="129"/>
      <c r="F28" s="129"/>
      <c r="G28" s="133"/>
      <c r="H28" s="134"/>
      <c r="I28" s="28"/>
      <c r="J28" s="43" t="s">
        <v>21</v>
      </c>
      <c r="K28" s="28"/>
      <c r="L28" s="19"/>
      <c r="M28" s="12"/>
      <c r="N28" s="14"/>
      <c r="O28" s="48"/>
      <c r="P28" s="31"/>
      <c r="Q28" s="28"/>
      <c r="R28" s="28"/>
      <c r="S28" s="31"/>
      <c r="T28" s="31"/>
      <c r="U28" s="31"/>
      <c r="V28" s="28"/>
      <c r="Y28" s="14"/>
      <c r="Z28" s="64"/>
      <c r="AA28" s="19"/>
      <c r="AB28" s="19"/>
      <c r="AC28" s="14"/>
    </row>
    <row r="29" spans="1:29" s="1" customFormat="1" ht="15">
      <c r="A29" s="14"/>
      <c r="B29" s="129"/>
      <c r="C29" s="129"/>
      <c r="D29" s="28"/>
      <c r="E29" s="129"/>
      <c r="F29" s="129"/>
      <c r="G29" s="133"/>
      <c r="H29" s="134"/>
      <c r="I29" s="28"/>
      <c r="K29" s="28"/>
      <c r="L29" s="19"/>
      <c r="M29" s="12"/>
      <c r="N29" s="14"/>
      <c r="O29" s="48"/>
      <c r="P29" s="31"/>
      <c r="Q29" s="28"/>
      <c r="R29" s="28"/>
      <c r="S29" s="31"/>
      <c r="T29" s="31"/>
      <c r="U29" s="31"/>
      <c r="V29" s="28"/>
      <c r="Y29" s="14"/>
      <c r="Z29" s="64"/>
      <c r="AA29" s="19"/>
      <c r="AB29" s="19"/>
      <c r="AC29" s="14"/>
    </row>
    <row r="30" spans="1:29" s="18" customFormat="1" ht="90">
      <c r="A30" s="18" t="str">
        <f t="shared" si="0"/>
        <v>q405</v>
      </c>
      <c r="B30" s="67" t="s">
        <v>331</v>
      </c>
      <c r="C30" s="67"/>
      <c r="D30" s="30"/>
      <c r="E30" s="310" t="s">
        <v>1091</v>
      </c>
      <c r="F30" s="310"/>
      <c r="G30" s="131"/>
      <c r="H30" s="131"/>
      <c r="I30" s="30">
        <f>I24+1</f>
        <v>405</v>
      </c>
      <c r="K30" s="21"/>
      <c r="L30" s="21" t="s">
        <v>19</v>
      </c>
      <c r="M30" s="21"/>
      <c r="N30" s="21" t="str">
        <f>CONCATENATE("q", I30)</f>
        <v>q405</v>
      </c>
      <c r="O30" s="48" t="str">
        <f>CONCATENATE(I30,". ",E30)</f>
        <v>405. ما هى المساحة الداخلية للمسكن بالمتر المربع؟</v>
      </c>
      <c r="P30" s="127" t="str">
        <f>CONCATENATE(A30, ". ", B30)</f>
        <v>q405. What is the total area inside of your dwelling unit in square meters?</v>
      </c>
      <c r="Q30" s="58"/>
      <c r="R30" s="58"/>
      <c r="S30" s="127" t="str">
        <f>'1_0_statistical_identification'!S164</f>
        <v>(data('valid_overall') == 1)</v>
      </c>
      <c r="T30" s="127"/>
      <c r="U30" s="127"/>
      <c r="V30" s="30"/>
      <c r="Y30" s="18" t="b">
        <v>1</v>
      </c>
      <c r="Z30" s="64"/>
      <c r="AC30" s="114"/>
    </row>
    <row r="31" spans="1:29" s="18" customFormat="1" ht="240">
      <c r="A31" s="18" t="str">
        <f t="shared" si="0"/>
        <v>q406</v>
      </c>
      <c r="B31" s="118" t="s">
        <v>332</v>
      </c>
      <c r="C31" s="48" t="str">
        <f>CONCATENATE("Constraints: ", X31,"Hints:", R31)</f>
        <v xml:space="preserve">Constraints: Use 15 if more than 15 rooms. Do not count bathrooms and kitchens.Hints:Use 15 if more than 15 rooms. Do not count bathrooms and kitchens.** Fill the response by observation then ask for verification, if needed  </v>
      </c>
      <c r="D31" s="30"/>
      <c r="E31" s="310" t="s">
        <v>1092</v>
      </c>
      <c r="F31" s="48" t="str">
        <f>CONCATENATE("Constraints: ", W31, "Hints", Q31)</f>
        <v>Constraints: استخدم 15 إذا كان عدد الغرف أكبر من 15
لا يجب أن يتضمن عدد الحمامات والمطابخHintsاستخدم 15 إذا كان عدد الغرف أكبر من 15
لا يجب أن يتضمن عدد الحمامات والمطابخ** يفضل استيفاء السؤال بالملاحظة ثم اسأل للتحقق عند الحاجة</v>
      </c>
      <c r="G31" s="131"/>
      <c r="H31" s="131"/>
      <c r="I31" s="30">
        <f>I30+1</f>
        <v>406</v>
      </c>
      <c r="K31" s="21"/>
      <c r="L31" s="44" t="s">
        <v>19</v>
      </c>
      <c r="M31" s="44"/>
      <c r="N31" s="44" t="str">
        <f>CONCATENATE("q", I31)</f>
        <v>q406</v>
      </c>
      <c r="O31" s="48" t="str">
        <f>CONCATENATE(I31,". ",E31)</f>
        <v>406. كم عدد الغرف في المسكن بما فيها الصالة؟</v>
      </c>
      <c r="P31" s="127" t="str">
        <f>CONCATENATE(A31, ". ", B31)</f>
        <v>q406. How many rooms are inside the house?</v>
      </c>
      <c r="Q31" s="70" t="str">
        <f>CONCATENATE(W31, "** يفضل استيفاء السؤال بالملاحظة ثم اسأل للتحقق عند الحاجة")</f>
        <v>استخدم 15 إذا كان عدد الغرف أكبر من 15
لا يجب أن يتضمن عدد الحمامات والمطابخ** يفضل استيفاء السؤال بالملاحظة ثم اسأل للتحقق عند الحاجة</v>
      </c>
      <c r="R31" s="58" t="str">
        <f>CONCATENATE(X31, "** Fill the response by observation then ask for verification, if needed  ")</f>
        <v xml:space="preserve">Use 15 if more than 15 rooms. Do not count bathrooms and kitchens.** Fill the response by observation then ask for verification, if needed  </v>
      </c>
      <c r="S31" s="127" t="str">
        <f>'1_0_statistical_identification'!S164</f>
        <v>(data('valid_overall') == 1)</v>
      </c>
      <c r="T31" s="127"/>
      <c r="U31" s="127"/>
      <c r="V31" s="30" t="str">
        <f>CONCATENATE("data('",A31,"')&lt;=15")</f>
        <v>data('q406')&lt;=15</v>
      </c>
      <c r="W31" s="449" t="s">
        <v>1508</v>
      </c>
      <c r="X31" s="18" t="s">
        <v>1480</v>
      </c>
      <c r="Y31" s="18" t="b">
        <v>1</v>
      </c>
      <c r="Z31" s="64"/>
      <c r="AC31" s="114"/>
    </row>
    <row r="32" spans="1:29" s="18" customFormat="1">
      <c r="B32" s="118"/>
      <c r="C32" s="118"/>
      <c r="D32" s="30"/>
      <c r="E32" s="310"/>
      <c r="F32" s="310"/>
      <c r="G32" s="131"/>
      <c r="H32" s="131"/>
      <c r="I32" s="30"/>
      <c r="J32" s="43" t="s">
        <v>20</v>
      </c>
      <c r="K32" s="21"/>
      <c r="L32" s="44"/>
      <c r="M32" s="44"/>
      <c r="N32" s="44"/>
      <c r="O32" s="48"/>
      <c r="P32" s="127"/>
      <c r="Q32" s="58"/>
      <c r="R32" s="58"/>
      <c r="S32" s="127"/>
      <c r="T32" s="127"/>
      <c r="U32" s="127"/>
      <c r="V32" s="30"/>
      <c r="Z32" s="64"/>
      <c r="AC32" s="114"/>
    </row>
    <row r="33" spans="1:29" s="18" customFormat="1" ht="210">
      <c r="A33" s="18" t="str">
        <f t="shared" si="0"/>
        <v>q407</v>
      </c>
      <c r="B33" s="67" t="s">
        <v>333</v>
      </c>
      <c r="C33" s="67"/>
      <c r="D33" s="127" t="str">
        <f>CONCATENATE(INDEX(choices!D:D,MATCH(M33,choices!A:A,0)),"
",IF(M33=INDEX(choices!A:A,MATCH(M33,choices!A:A,0)+1),INDEX(choices!D:D,MATCH(M33,choices!A:A,0)+1),""),IF(M33=INDEX(choices!A:A,MATCH(M33,choices!A:A,0)+1), "
",""),IF(M33=INDEX(choices!A:A,MATCH(M33,choices!A:A,0)+2),INDEX(choices!D:D,MATCH(M33,choices!A:A,0)+2),""),IF(M33=INDEX(choices!A:A,MATCH(M33,choices!A:A,0)+2), "
",""),IF(M33=INDEX(choices!A:A,MATCH(M33,choices!A:A,0)+3),INDEX(choices!D:D,MATCH(M33,choices!A:A,0)+3),""),IF(M33=INDEX(choices!A:A,MATCH(M33,choices!A:A,0)+3), "
",""),IF(M33=INDEX(choices!A:A,MATCH(M33,choices!A:A,0)+4),INDEX(choices!D:D,MATCH(M33,choices!A:A,0)+4),""),IF(M33=INDEX(choices!A:A,MATCH(M33,choices!A:A,0)+4), "
",""),IF(M33=INDEX(choices!A:A,MATCH(M33,choices!A:A,0)+5),INDEX(choices!D:D,MATCH(M33,choices!A:A,0)+5),""),IF(M33=INDEX(choices!A:A,MATCH(M33,choices!A:A,0)+5), "
",""),IF(M33=INDEX(choices!A:A,MATCH(M33,choices!A:A,0)+6),INDEX(choices!D:D,MATCH(M33,choices!A:A,0)+6),""),IF(M33=INDEX(choices!A:A,MATCH(M33,choices!A:A,0)+6), "
",""),IF(M33=INDEX(choices!A:A,MATCH(M33,choices!A:A,0)+7),INDEX(choices!D:D,MATCH(M33,choices!A:A,0)+7),""),IF(M33=INDEX(choices!A:A,MATCH(M33,choices!A:A,0)+7), "
",""),IF(M33=INDEX(choices!A:A,MATCH(M33,choices!A:A,0)+8),INDEX(choices!D:D,MATCH(M33,choices!A:A,0)+8),""),IF(M33=INDEX(choices!A:A,MATCH(M33,choices!A:A,0)+8), "
",""),IF(M33=INDEX(choices!A:A,MATCH(M33,choices!A:A,0)+9),INDEX(choices!D:D,MATCH(M33,choices!A:A,0)+9),""),IF(M33=INDEX(choices!A:A,MATCH(M33,choices!A:A,0)+9), "
",""),IF(M33=INDEX(choices!A:A,MATCH(M33,choices!A:A,0)+10),INDEX(choices!D:D,MATCH(M33,choices!A:A,0)+10),""),IF(M33=INDEX(choices!A:A,MATCH(M33,choices!A:A,0)+10), "
",""),IF(M33=INDEX(choices!A:A,MATCH(M33,choices!A:A,0)+11),INDEX(choices!D:D,MATCH(M33,choices!A:A,0)+11),""),IF(M33=INDEX(choices!A:A,MATCH(M33,choices!A:A,0)+11), "
",""),IF(M33=INDEX(choices!A:A,MATCH(M33,choices!A:A,0)+12),INDEX(choices!D:D,MATCH(M33,choices!A:A,0)+12),""),IF(M33=INDEX(choices!A:A,MATCH(M33,choices!A:A,0)+12), "
",""),IF(M33=INDEX(choices!A:A,MATCH(M33,choices!A:A,0)+13),INDEX(choices!D:D,MATCH(M33,choices!A:A,0)+13),""),IF(M33=INDEX(choices!A:A,MATCH(M33,choices!A:A,0)+13), "
",""),IF(M33=INDEX(choices!A:A,MATCH(M33,choices!A:A,0)+14),INDEX(choices!D:D,MATCH(M33,choices!A:A,0)+14),""),IF(M33=INDEX(choices!A:A,MATCH(M33,choices!A:A,0)+14), "
",""),IF(M33=INDEX(choices!A:A,MATCH(M33,choices!A:A,0)+15),INDEX(choices!D:D,MATCH(M33,choices!A:A,0)+15),""),IF(M33=INDEX(choices!A:A,MATCH(M33,choices!A:A,0)+15), "
",""),IF(M33=INDEX(choices!A:A,MATCH(M33,choices!A:A,0)+16),INDEX(choices!D:D,MATCH(M33,choices!A:A,0)+16),""),IF(M33=INDEX(choices!A:A,MATCH(M33,choices!A:A,0)+16), "
",""),IF(M33=INDEX(choices!A:A,MATCH(M33,choices!A:A,0)+17),INDEX(choices!D:D,MATCH(M33,choices!A:A,0)+17),""),IF(M33=INDEX(choices!A:A,MATCH(M33,choices!A:A,0)+17), "
",""),IF(M33=INDEX(choices!A:A,MATCH(M33,choices!A:A,0)+18),INDEX(choices!D:D,MATCH(M33,choices!A:A,0)+18),""),IF(M33=INDEX(choices!A:A,MATCH(M33,choices!A:A,0)+18), "
",""),IF(M33=INDEX(choices!A:A,MATCH(M33,choices!A:A,0)+19),INDEX(choices!D:D,MATCH(M33,choices!A:A,0)+19),""),IF(M33=INDEX(choices!A:A,MATCH(M33,choices!A:A,0)+19), "
",""),IF(M33=INDEX(choices!A:A,MATCH(M33,choices!A:A,0)+20),INDEX(choices!D:D,MATCH(M33,choices!A:A,0)+20),""),IF(M33=INDEX(choices!A:A,MATCH(M33,choices!A:A,0)+20), "
",""))</f>
        <v xml:space="preserve">1. Owned
2. Condominium
3. Rent, unfurnished (old law)
4. Rent, furnished
5. Rent, new law
6. Fringe benefit/grant
97. Other
</v>
      </c>
      <c r="E33" s="310" t="s">
        <v>1093</v>
      </c>
      <c r="F33" s="310"/>
      <c r="G33" s="67" t="str">
        <f>CONCATENATE(INDEX(choices!C:C,MATCH(M33,choices!A:A,0)),"
",IF(M33=INDEX(choices!A:A,MATCH(M33,choices!A:A,0)+1),INDEX(choices!C:C,MATCH(M33,choices!A:A,0)+1),""),IF(M33=INDEX(choices!A:A,MATCH(M33,choices!A:A,0)+1), "
",""),IF(M33=INDEX(choices!A:A,MATCH(M33,choices!A:A,0)+2),INDEX(choices!C:C,MATCH(M33,choices!A:A,0)+2),""),IF(M33=INDEX(choices!A:A,MATCH(M33,choices!A:A,0)+2), "
",""),IF(M33=INDEX(choices!A:A,MATCH(M33,choices!A:A,0)+3),INDEX(choices!C:C,MATCH(M33,choices!A:A,0)+3),""),IF(M33=INDEX(choices!A:A,MATCH(M33,choices!A:A,0)+3), "
",""),IF(M33=INDEX(choices!A:A,MATCH(M33,choices!A:A,0)+4),INDEX(choices!C:C,MATCH(M33,choices!A:A,0)+4),""),IF(M33=INDEX(choices!A:A,MATCH(M33,choices!A:A,0)+4), "
",""),IF(M33=INDEX(choices!A:A,MATCH(M33,choices!A:A,0)+5),INDEX(choices!C:C,MATCH(M33,choices!A:A,0)+5),""),IF(M33=INDEX(choices!A:A,MATCH(M33,choices!A:A,0)+5), "
",""),IF(M33=INDEX(choices!A:A,MATCH(M33,choices!A:A,0)+6),INDEX(choices!C:C,MATCH(M33,choices!A:A,0)+6),""),IF(M33=INDEX(choices!A:A,MATCH(M33,choices!A:A,0)+6), "
",""),IF(M33=INDEX(choices!A:A,MATCH(M33,choices!A:A,0)+7),INDEX(choices!C:C,MATCH(M33,choices!A:A,0)+7),""),IF(M33=INDEX(choices!A:A,MATCH(M33,choices!A:A,0)+7), "
",""),IF(M33=INDEX(choices!A:A,MATCH(M33,choices!A:A,0)+8),INDEX(choices!C:C,MATCH(M33,choices!A:A,0)+8),""),IF(M33=INDEX(choices!A:A,MATCH(M33,choices!A:A,0)+8), "
",""),IF(M33=INDEX(choices!A:A,MATCH(M33,choices!A:A,0)+9),INDEX(choices!C:C,MATCH(M33,choices!A:A,0)+9),""),IF(M33=INDEX(choices!A:A,MATCH(M33,choices!A:A,0)+9), "
",""),IF(M33=INDEX(choices!A:A,MATCH(M33,choices!A:A,0)+10),INDEX(choices!C:C,MATCH(M33,choices!A:A,0)+10),""),IF(M33=INDEX(choices!A:A,MATCH(M33,choices!A:A,0)+10), "
",""),IF(M33=INDEX(choices!A:A,MATCH(M33,choices!A:A,0)+11),INDEX(choices!C:C,MATCH(M33,choices!A:A,0)+11),""),IF(M33=INDEX(choices!A:A,MATCH(M33,choices!A:A,0)+11), "
",""),IF(M33=INDEX(choices!A:A,MATCH(M33,choices!A:A,0)+12),INDEX(choices!C:C,MATCH(M33,choices!A:A,0)+12),""),IF(M33=INDEX(choices!A:A,MATCH(M33,choices!A:A,0)+12), "
",""),IF(M33=INDEX(choices!A:A,MATCH(M33,choices!A:A,0)+13),INDEX(choices!C:C,MATCH(M33,choices!A:A,0)+13),""),IF(M33=INDEX(choices!A:A,MATCH(M33,choices!A:A,0)+13), "
",""),IF(M33=INDEX(choices!A:A,MATCH(M33,choices!A:A,0)+14),INDEX(choices!C:C,MATCH(M33,choices!A:A,0)+14),""),IF(M33=INDEX(choices!A:A,MATCH(M33,choices!A:A,0)+14), "
",""),IF(M33=INDEX(choices!A:A,MATCH(M33,choices!A:A,0)+15),INDEX(choices!C:C,MATCH(M33,choices!A:A,0)+15),""),IF(M33=INDEX(choices!A:A,MATCH(M33,choices!A:A,0)+15), "
",""),IF(M33=INDEX(choices!A:A,MATCH(M33,choices!A:A,0)+16),INDEX(choices!C:C,MATCH(M33,choices!A:A,0)+16),""),IF(M33=INDEX(choices!A:A,MATCH(M33,choices!A:A,0)+16), "
",""),IF(M33=INDEX(choices!A:A,MATCH(M33,choices!A:A,0)+17),INDEX(choices!C:C,MATCH(M33,choices!A:A,0)+17),""),IF(M33=INDEX(choices!A:A,MATCH(M33,choices!A:A,0)+17), "
",""),IF(M33=INDEX(choices!A:A,MATCH(M33,choices!A:A,0)+18),INDEX(choices!C:C,MATCH(M33,choices!A:A,0)+18),""),IF(M33=INDEX(choices!A:A,MATCH(M33,choices!A:A,0)+18), "
",""),IF(M33=INDEX(choices!A:A,MATCH(M33,choices!A:A,0)+19),INDEX(choices!C:C,MATCH(M33,choices!A:A,0)+19),""),IF(M33=INDEX(choices!A:A,MATCH(M33,choices!A:A,0)+19), "
",""),IF(M33=INDEX(choices!A:A,MATCH(M33,choices!A:A,0)+20),INDEX(choices!C:C,MATCH(M33,choices!A:A,0)+20),""),IF(M33=INDEX(choices!A:A,MATCH(M33,choices!A:A,0)+20), "
","")," ")</f>
        <v xml:space="preserve">1. ملك
2. تمليك
3. إيجار قانون قديم
4. إيجار مفروش
5. إيجار، قانون جديد
6. ميزة عينية/هبة
97. أخرى
 </v>
      </c>
      <c r="H33" s="67" t="s">
        <v>266</v>
      </c>
      <c r="I33" s="30">
        <f>I31+1</f>
        <v>407</v>
      </c>
      <c r="K33" s="21"/>
      <c r="L33" s="21" t="s">
        <v>18</v>
      </c>
      <c r="M33" s="21" t="s">
        <v>41</v>
      </c>
      <c r="N33" s="21" t="str">
        <f>CONCATENATE("q", I33)</f>
        <v>q407</v>
      </c>
      <c r="O33" s="48" t="str">
        <f>CONCATENATE(I33,". ",E33)</f>
        <v>407. ما هو نوع حيازة مسكنكم؟</v>
      </c>
      <c r="P33" s="127" t="str">
        <f>CONCATENATE(A33, ". ", B33)</f>
        <v>q407. What type of ownership do you have of your dwelling?</v>
      </c>
      <c r="Q33" s="58"/>
      <c r="R33" s="58"/>
      <c r="S33" s="127" t="str">
        <f>'1_0_statistical_identification'!S164</f>
        <v>(data('valid_overall') == 1)</v>
      </c>
      <c r="T33" s="127"/>
      <c r="U33" s="127"/>
      <c r="V33" s="30"/>
      <c r="Y33" s="18" t="b">
        <v>1</v>
      </c>
      <c r="Z33" s="64"/>
      <c r="AA33" s="17"/>
      <c r="AC33" s="111"/>
    </row>
    <row r="34" spans="1:29" s="1" customFormat="1" ht="30">
      <c r="A34" s="14"/>
      <c r="B34" s="129"/>
      <c r="C34" s="129"/>
      <c r="D34" s="28"/>
      <c r="E34" s="129"/>
      <c r="F34" s="129"/>
      <c r="G34" s="133"/>
      <c r="H34" s="133"/>
      <c r="I34" s="28"/>
      <c r="J34" s="43" t="s">
        <v>23</v>
      </c>
      <c r="K34" s="28" t="str">
        <f>CONCATENATE("selected (data('",A33,"'), '97')")</f>
        <v>selected (data('q407'), '97')</v>
      </c>
      <c r="L34" s="19"/>
      <c r="M34" s="12"/>
      <c r="N34" s="14"/>
      <c r="O34" s="48"/>
      <c r="P34" s="31"/>
      <c r="Q34" s="28"/>
      <c r="R34" s="28"/>
      <c r="S34" s="31"/>
      <c r="T34" s="31"/>
      <c r="U34" s="31"/>
      <c r="V34" s="28"/>
      <c r="Y34" s="14"/>
      <c r="Z34" s="64"/>
      <c r="AA34" s="19"/>
      <c r="AB34" s="19"/>
      <c r="AC34" s="14"/>
    </row>
    <row r="35" spans="1:29" s="1" customFormat="1" ht="75">
      <c r="A35" s="14" t="str">
        <f>CONCATENATE("q",I35)</f>
        <v>q407_other</v>
      </c>
      <c r="B35" s="129" t="s">
        <v>393</v>
      </c>
      <c r="C35" s="129"/>
      <c r="D35" s="28"/>
      <c r="E35" s="129" t="s">
        <v>1088</v>
      </c>
      <c r="F35" s="129"/>
      <c r="G35" s="133"/>
      <c r="H35" s="133"/>
      <c r="I35" s="28" t="str">
        <f>CONCATENATE(I33,"_other")</f>
        <v>407_other</v>
      </c>
      <c r="J35" s="43"/>
      <c r="K35" s="28"/>
      <c r="L35" s="19" t="s">
        <v>8</v>
      </c>
      <c r="M35" s="12"/>
      <c r="N35" s="14" t="str">
        <f>CONCATENATE("q",I35)</f>
        <v>q407_other</v>
      </c>
      <c r="O35" s="86" t="str">
        <f>CONCATENATE(I35,". ",E35)</f>
        <v>407_other. أخرى</v>
      </c>
      <c r="P35" s="86" t="str">
        <f>CONCATENATE($I35,". ",B35)</f>
        <v xml:space="preserve">407_other. Other: </v>
      </c>
      <c r="Q35" s="28"/>
      <c r="R35" s="28"/>
      <c r="S35" s="86" t="str">
        <f>CONCATENATE(K34, " &amp;&amp; ", '1_0_statistical_identification'!$S$164)</f>
        <v>selected (data('q407'), '97') &amp;&amp; (data('valid_overall') == 1)</v>
      </c>
      <c r="T35" s="86"/>
      <c r="U35" s="86"/>
      <c r="V35" s="28"/>
      <c r="Y35" s="14" t="b">
        <v>1</v>
      </c>
      <c r="Z35" s="64"/>
      <c r="AA35" s="19"/>
      <c r="AB35" s="19"/>
      <c r="AC35" s="14"/>
    </row>
    <row r="36" spans="1:29" s="1" customFormat="1" ht="15">
      <c r="A36" s="14"/>
      <c r="B36" s="129"/>
      <c r="C36" s="129"/>
      <c r="D36" s="28"/>
      <c r="E36" s="129"/>
      <c r="F36" s="129"/>
      <c r="G36" s="133"/>
      <c r="H36" s="134"/>
      <c r="I36" s="28"/>
      <c r="J36" s="43" t="s">
        <v>24</v>
      </c>
      <c r="K36" s="28"/>
      <c r="L36" s="19"/>
      <c r="M36" s="12"/>
      <c r="N36" s="14"/>
      <c r="O36" s="48"/>
      <c r="P36" s="31"/>
      <c r="Q36" s="28"/>
      <c r="R36" s="28"/>
      <c r="S36" s="31"/>
      <c r="T36" s="31"/>
      <c r="U36" s="31"/>
      <c r="V36" s="28"/>
      <c r="Y36" s="14"/>
      <c r="Z36" s="64"/>
      <c r="AA36" s="19"/>
      <c r="AB36" s="19"/>
      <c r="AC36" s="14"/>
    </row>
    <row r="37" spans="1:29" s="1" customFormat="1" ht="30">
      <c r="A37" s="14"/>
      <c r="B37" s="129"/>
      <c r="C37" s="129"/>
      <c r="D37" s="28"/>
      <c r="E37" s="129"/>
      <c r="F37" s="129"/>
      <c r="G37" s="133"/>
      <c r="H37" s="131" t="str">
        <f>CONCATENATE("if 1, 2, 6, or 97---&gt;",N45)</f>
        <v>if 1, 2, 6, or 97---&gt;q409</v>
      </c>
      <c r="I37" s="28"/>
      <c r="J37" s="43" t="s">
        <v>21</v>
      </c>
      <c r="K37" s="28"/>
      <c r="L37" s="19"/>
      <c r="M37" s="12"/>
      <c r="N37" s="14"/>
      <c r="O37" s="48"/>
      <c r="P37" s="31"/>
      <c r="Q37" s="28"/>
      <c r="R37" s="28"/>
      <c r="S37" s="31"/>
      <c r="T37" s="31"/>
      <c r="U37" s="31"/>
      <c r="V37" s="28"/>
      <c r="Y37" s="14"/>
      <c r="Z37" s="64"/>
      <c r="AA37" s="19"/>
      <c r="AB37" s="19"/>
      <c r="AC37" s="14"/>
    </row>
    <row r="38" spans="1:29" s="1" customFormat="1" ht="15">
      <c r="A38" s="14"/>
      <c r="B38" s="129"/>
      <c r="C38" s="129"/>
      <c r="D38" s="28"/>
      <c r="E38" s="129"/>
      <c r="F38" s="129"/>
      <c r="G38" s="133"/>
      <c r="H38" s="134"/>
      <c r="I38" s="28"/>
      <c r="J38" s="14"/>
      <c r="K38" s="28"/>
      <c r="L38" s="19"/>
      <c r="M38" s="12"/>
      <c r="N38" s="14"/>
      <c r="O38" s="48"/>
      <c r="P38" s="31"/>
      <c r="Q38" s="28"/>
      <c r="R38" s="28"/>
      <c r="S38" s="31"/>
      <c r="T38" s="31"/>
      <c r="U38" s="31"/>
      <c r="V38" s="28"/>
      <c r="Y38" s="14"/>
      <c r="Z38" s="64"/>
      <c r="AA38" s="19"/>
      <c r="AB38" s="19"/>
      <c r="AC38" s="14"/>
    </row>
    <row r="39" spans="1:29" s="18" customFormat="1">
      <c r="B39" s="67"/>
      <c r="C39" s="67"/>
      <c r="D39" s="30"/>
      <c r="E39" s="310"/>
      <c r="F39" s="310"/>
      <c r="G39" s="131"/>
      <c r="H39" s="131"/>
      <c r="I39" s="30"/>
      <c r="J39" s="18" t="s">
        <v>23</v>
      </c>
      <c r="K39" s="21" t="str">
        <f>CONCATENATE("selected(data('",N33,"'), '3') || selected(data('",N33,"'), '4') || selected(data('",N33,"'), '5')")</f>
        <v>selected(data('q407'), '3') || selected(data('q407'), '4') || selected(data('q407'), '5')</v>
      </c>
      <c r="L39" s="21"/>
      <c r="M39" s="21"/>
      <c r="N39" s="21"/>
      <c r="O39" s="48" t="str">
        <f>CONCATENATE(I39,". ",E39)</f>
        <v xml:space="preserve">. </v>
      </c>
      <c r="P39" s="127"/>
      <c r="Q39" s="58"/>
      <c r="R39" s="58"/>
      <c r="S39" s="127"/>
      <c r="T39" s="127"/>
      <c r="U39" s="127"/>
      <c r="V39" s="30"/>
      <c r="Y39" s="18" t="b">
        <v>1</v>
      </c>
      <c r="Z39" s="64"/>
      <c r="AC39" s="114"/>
    </row>
    <row r="40" spans="1:29" s="18" customFormat="1">
      <c r="B40" s="67"/>
      <c r="C40" s="67"/>
      <c r="D40" s="30"/>
      <c r="E40" s="310"/>
      <c r="F40" s="310"/>
      <c r="G40" s="131"/>
      <c r="H40" s="131"/>
      <c r="I40" s="30"/>
      <c r="J40" s="43" t="s">
        <v>20</v>
      </c>
      <c r="K40" s="21"/>
      <c r="L40" s="21"/>
      <c r="M40" s="21"/>
      <c r="N40" s="21"/>
      <c r="O40" s="48"/>
      <c r="P40" s="127"/>
      <c r="Q40" s="58"/>
      <c r="R40" s="58"/>
      <c r="S40" s="127"/>
      <c r="T40" s="127"/>
      <c r="U40" s="127"/>
      <c r="V40" s="30"/>
      <c r="Z40" s="64"/>
      <c r="AC40" s="114"/>
    </row>
    <row r="41" spans="1:29" s="18" customFormat="1" ht="120">
      <c r="A41" s="18" t="str">
        <f>N41</f>
        <v>q408</v>
      </c>
      <c r="B41" s="67" t="s">
        <v>334</v>
      </c>
      <c r="C41" s="48" t="str">
        <f>CONCATENATE("Hints: ", R41)</f>
        <v>Hints: In pounds</v>
      </c>
      <c r="D41" s="30"/>
      <c r="E41" s="310" t="s">
        <v>1094</v>
      </c>
      <c r="F41" s="48" t="str">
        <f>CONCATENATE("Hints: ",Q41, )</f>
        <v>Hints: في جنيه مصرى</v>
      </c>
      <c r="G41" s="131"/>
      <c r="H41" s="131"/>
      <c r="I41" s="30">
        <f>I33+1</f>
        <v>408</v>
      </c>
      <c r="K41" s="21"/>
      <c r="L41" s="21" t="s">
        <v>19</v>
      </c>
      <c r="M41" s="21"/>
      <c r="N41" s="21" t="str">
        <f>CONCATENATE("q", I41)</f>
        <v>q408</v>
      </c>
      <c r="O41" s="48" t="str">
        <f>CONCATENATE(I41,". ",E41)</f>
        <v>408. كم تدفع في الإيجار شهرياً؟</v>
      </c>
      <c r="P41" s="127" t="str">
        <f>CONCATENATE(A41, ". ", B41)</f>
        <v>q408. How much do you pay in rent each month?</v>
      </c>
      <c r="Q41" s="346" t="s">
        <v>267</v>
      </c>
      <c r="R41" s="58" t="s">
        <v>61</v>
      </c>
      <c r="S41" s="86" t="str">
        <f>CONCATENATE("(", K39, ") &amp;&amp; ", '1_0_statistical_identification'!$S$164)</f>
        <v>(selected(data('q407'), '3') || selected(data('q407'), '4') || selected(data('q407'), '5')) &amp;&amp; (data('valid_overall') == 1)</v>
      </c>
      <c r="T41" s="86"/>
      <c r="U41" s="86"/>
      <c r="V41" s="30"/>
      <c r="Y41" s="18" t="b">
        <v>1</v>
      </c>
      <c r="Z41" s="64"/>
      <c r="AC41" s="114"/>
    </row>
    <row r="42" spans="1:29" s="18" customFormat="1">
      <c r="B42" s="67"/>
      <c r="C42" s="67"/>
      <c r="D42" s="30"/>
      <c r="E42" s="310"/>
      <c r="F42" s="310"/>
      <c r="G42" s="131"/>
      <c r="H42" s="131"/>
      <c r="I42" s="30"/>
      <c r="J42" s="43" t="s">
        <v>21</v>
      </c>
      <c r="K42" s="21"/>
      <c r="L42" s="21"/>
      <c r="M42" s="21"/>
      <c r="N42" s="21"/>
      <c r="O42" s="48"/>
      <c r="P42" s="127"/>
      <c r="Q42" s="335"/>
      <c r="R42" s="58"/>
      <c r="S42" s="127"/>
      <c r="T42" s="127"/>
      <c r="U42" s="127"/>
      <c r="V42" s="30"/>
      <c r="Z42" s="64"/>
      <c r="AC42" s="114"/>
    </row>
    <row r="43" spans="1:29" s="18" customFormat="1">
      <c r="B43" s="67"/>
      <c r="C43" s="67"/>
      <c r="D43" s="30"/>
      <c r="E43" s="310"/>
      <c r="F43" s="310"/>
      <c r="G43" s="131"/>
      <c r="H43" s="131"/>
      <c r="I43" s="30"/>
      <c r="J43" s="18" t="s">
        <v>24</v>
      </c>
      <c r="K43" s="21"/>
      <c r="L43" s="21"/>
      <c r="M43" s="21"/>
      <c r="N43" s="21"/>
      <c r="O43" s="48" t="str">
        <f>CONCATENATE(I43,". ",E43)</f>
        <v xml:space="preserve">. </v>
      </c>
      <c r="P43" s="127"/>
      <c r="Q43" s="58"/>
      <c r="R43" s="85"/>
      <c r="S43" s="127"/>
      <c r="T43" s="127"/>
      <c r="U43" s="127"/>
      <c r="V43" s="30"/>
      <c r="Y43" s="18" t="b">
        <v>1</v>
      </c>
      <c r="Z43" s="64"/>
      <c r="AC43" s="114"/>
    </row>
    <row r="44" spans="1:29" s="18" customFormat="1">
      <c r="B44" s="67"/>
      <c r="C44" s="67"/>
      <c r="D44" s="30"/>
      <c r="E44" s="310"/>
      <c r="F44" s="310"/>
      <c r="G44" s="131"/>
      <c r="H44" s="131"/>
      <c r="I44" s="30"/>
      <c r="J44" s="18" t="s">
        <v>20</v>
      </c>
      <c r="K44" s="21"/>
      <c r="L44" s="21"/>
      <c r="M44" s="21"/>
      <c r="N44" s="21"/>
      <c r="O44" s="48"/>
      <c r="P44" s="127"/>
      <c r="Q44" s="58"/>
      <c r="R44" s="85"/>
      <c r="S44" s="127"/>
      <c r="T44" s="127"/>
      <c r="U44" s="127"/>
      <c r="V44" s="30"/>
      <c r="Z44" s="64"/>
      <c r="AC44" s="114"/>
    </row>
    <row r="45" spans="1:29" s="18" customFormat="1" ht="285">
      <c r="A45" s="18" t="str">
        <f t="shared" ref="A45:A99" si="1">N45</f>
        <v>q409</v>
      </c>
      <c r="B45" s="67" t="s">
        <v>335</v>
      </c>
      <c r="C45" s="67"/>
      <c r="D45" s="127" t="str">
        <f>CONCATENATE(INDEX(choices!D:D,MATCH(M45,choices!A:A,0)),"
",IF(M45=INDEX(choices!A:A,MATCH(M45,choices!A:A,0)+1),INDEX(choices!D:D,MATCH(M45,choices!A:A,0)+1),""),IF(M45=INDEX(choices!A:A,MATCH(M45,choices!A:A,0)+1), "
",""),IF(M45=INDEX(choices!A:A,MATCH(M45,choices!A:A,0)+2),INDEX(choices!D:D,MATCH(M45,choices!A:A,0)+2),""),IF(M45=INDEX(choices!A:A,MATCH(M45,choices!A:A,0)+2), "
",""),IF(M45=INDEX(choices!A:A,MATCH(M45,choices!A:A,0)+3),INDEX(choices!D:D,MATCH(M45,choices!A:A,0)+3),""),IF(M45=INDEX(choices!A:A,MATCH(M45,choices!A:A,0)+3), "
",""),IF(M45=INDEX(choices!A:A,MATCH(M45,choices!A:A,0)+4),INDEX(choices!D:D,MATCH(M45,choices!A:A,0)+4),""),IF(M45=INDEX(choices!A:A,MATCH(M45,choices!A:A,0)+4), "
",""),IF(M45=INDEX(choices!A:A,MATCH(M45,choices!A:A,0)+5),INDEX(choices!D:D,MATCH(M45,choices!A:A,0)+5),""),IF(M45=INDEX(choices!A:A,MATCH(M45,choices!A:A,0)+5), "
",""),IF(M45=INDEX(choices!A:A,MATCH(M45,choices!A:A,0)+6),INDEX(choices!D:D,MATCH(M45,choices!A:A,0)+6),""),IF(M45=INDEX(choices!A:A,MATCH(M45,choices!A:A,0)+6), "
",""),IF(M45=INDEX(choices!A:A,MATCH(M45,choices!A:A,0)+7),INDEX(choices!D:D,MATCH(M45,choices!A:A,0)+7),""),IF(M45=INDEX(choices!A:A,MATCH(M45,choices!A:A,0)+7), "
",""),IF(M45=INDEX(choices!A:A,MATCH(M45,choices!A:A,0)+8),INDEX(choices!D:D,MATCH(M45,choices!A:A,0)+8),""),IF(M45=INDEX(choices!A:A,MATCH(M45,choices!A:A,0)+8), "
",""),IF(M45=INDEX(choices!A:A,MATCH(M45,choices!A:A,0)+9),INDEX(choices!D:D,MATCH(M45,choices!A:A,0)+9),""),IF(M45=INDEX(choices!A:A,MATCH(M45,choices!A:A,0)+9), "
",""),IF(M45=INDEX(choices!A:A,MATCH(M45,choices!A:A,0)+10),INDEX(choices!D:D,MATCH(M45,choices!A:A,0)+10),""),IF(M45=INDEX(choices!A:A,MATCH(M45,choices!A:A,0)+10), "
",""),IF(M45=INDEX(choices!A:A,MATCH(M45,choices!A:A,0)+11),INDEX(choices!D:D,MATCH(M45,choices!A:A,0)+11),""),IF(M45=INDEX(choices!A:A,MATCH(M45,choices!A:A,0)+11), "
",""),IF(M45=INDEX(choices!A:A,MATCH(M45,choices!A:A,0)+12),INDEX(choices!D:D,MATCH(M45,choices!A:A,0)+12),""),IF(M45=INDEX(choices!A:A,MATCH(M45,choices!A:A,0)+12), "
",""),IF(M45=INDEX(choices!A:A,MATCH(M45,choices!A:A,0)+13),INDEX(choices!D:D,MATCH(M45,choices!A:A,0)+13),""),IF(M45=INDEX(choices!A:A,MATCH(M45,choices!A:A,0)+13), "
",""),IF(M45=INDEX(choices!A:A,MATCH(M45,choices!A:A,0)+14),INDEX(choices!D:D,MATCH(M45,choices!A:A,0)+14),""),IF(M45=INDEX(choices!A:A,MATCH(M45,choices!A:A,0)+14), "
",""),IF(M45=INDEX(choices!A:A,MATCH(M45,choices!A:A,0)+15),INDEX(choices!D:D,MATCH(M45,choices!A:A,0)+15),""),IF(M45=INDEX(choices!A:A,MATCH(M45,choices!A:A,0)+15), "
",""),IF(M45=INDEX(choices!A:A,MATCH(M45,choices!A:A,0)+16),INDEX(choices!D:D,MATCH(M45,choices!A:A,0)+16),""),IF(M45=INDEX(choices!A:A,MATCH(M45,choices!A:A,0)+16), "
",""),IF(M45=INDEX(choices!A:A,MATCH(M45,choices!A:A,0)+17),INDEX(choices!D:D,MATCH(M45,choices!A:A,0)+17),""),IF(M45=INDEX(choices!A:A,MATCH(M45,choices!A:A,0)+17), "
",""),IF(M45=INDEX(choices!A:A,MATCH(M45,choices!A:A,0)+18),INDEX(choices!D:D,MATCH(M45,choices!A:A,0)+18),""),IF(M45=INDEX(choices!A:A,MATCH(M45,choices!A:A,0)+18), "
",""),IF(M45=INDEX(choices!A:A,MATCH(M45,choices!A:A,0)+19),INDEX(choices!D:D,MATCH(M45,choices!A:A,0)+19),""),IF(M45=INDEX(choices!A:A,MATCH(M45,choices!A:A,0)+19), "
",""),IF(M45=INDEX(choices!A:A,MATCH(M45,choices!A:A,0)+20),INDEX(choices!D:D,MATCH(M45,choices!A:A,0)+20),""),IF(M45=INDEX(choices!A:A,MATCH(M45,choices!A:A,0)+20), "
",""))</f>
        <v xml:space="preserve">1. Tap water inside the dwelling
2. Tap water outside the dwelling
3. Pump/closed well
4. Open well (ex. Sinai)
5. Public tap
6. River or stream
7. Water seller
8. Mineral water
97. Other
</v>
      </c>
      <c r="E45" s="310" t="s">
        <v>1095</v>
      </c>
      <c r="F45" s="310"/>
      <c r="G45" s="67" t="str">
        <f>CONCATENATE(INDEX(choices!C:C,MATCH(M45,choices!A:A,0)),"
",IF(M45=INDEX(choices!A:A,MATCH(M45,choices!A:A,0)+1),INDEX(choices!C:C,MATCH(M45,choices!A:A,0)+1),""),IF(M45=INDEX(choices!A:A,MATCH(M45,choices!A:A,0)+1), "
",""),IF(M45=INDEX(choices!A:A,MATCH(M45,choices!A:A,0)+2),INDEX(choices!C:C,MATCH(M45,choices!A:A,0)+2),""),IF(M45=INDEX(choices!A:A,MATCH(M45,choices!A:A,0)+2), "
",""),IF(M45=INDEX(choices!A:A,MATCH(M45,choices!A:A,0)+3),INDEX(choices!C:C,MATCH(M45,choices!A:A,0)+3),""),IF(M45=INDEX(choices!A:A,MATCH(M45,choices!A:A,0)+3), "
",""),IF(M45=INDEX(choices!A:A,MATCH(M45,choices!A:A,0)+4),INDEX(choices!C:C,MATCH(M45,choices!A:A,0)+4),""),IF(M45=INDEX(choices!A:A,MATCH(M45,choices!A:A,0)+4), "
",""),IF(M45=INDEX(choices!A:A,MATCH(M45,choices!A:A,0)+5),INDEX(choices!C:C,MATCH(M45,choices!A:A,0)+5),""),IF(M45=INDEX(choices!A:A,MATCH(M45,choices!A:A,0)+5), "
",""),IF(M45=INDEX(choices!A:A,MATCH(M45,choices!A:A,0)+6),INDEX(choices!C:C,MATCH(M45,choices!A:A,0)+6),""),IF(M45=INDEX(choices!A:A,MATCH(M45,choices!A:A,0)+6), "
",""),IF(M45=INDEX(choices!A:A,MATCH(M45,choices!A:A,0)+7),INDEX(choices!C:C,MATCH(M45,choices!A:A,0)+7),""),IF(M45=INDEX(choices!A:A,MATCH(M45,choices!A:A,0)+7), "
",""),IF(M45=INDEX(choices!A:A,MATCH(M45,choices!A:A,0)+8),INDEX(choices!C:C,MATCH(M45,choices!A:A,0)+8),""),IF(M45=INDEX(choices!A:A,MATCH(M45,choices!A:A,0)+8), "
",""),IF(M45=INDEX(choices!A:A,MATCH(M45,choices!A:A,0)+9),INDEX(choices!C:C,MATCH(M45,choices!A:A,0)+9),""),IF(M45=INDEX(choices!A:A,MATCH(M45,choices!A:A,0)+9), "
",""),IF(M45=INDEX(choices!A:A,MATCH(M45,choices!A:A,0)+10),INDEX(choices!C:C,MATCH(M45,choices!A:A,0)+10),""),IF(M45=INDEX(choices!A:A,MATCH(M45,choices!A:A,0)+10), "
",""),IF(M45=INDEX(choices!A:A,MATCH(M45,choices!A:A,0)+11),INDEX(choices!C:C,MATCH(M45,choices!A:A,0)+11),""),IF(M45=INDEX(choices!A:A,MATCH(M45,choices!A:A,0)+11), "
",""),IF(M45=INDEX(choices!A:A,MATCH(M45,choices!A:A,0)+12),INDEX(choices!C:C,MATCH(M45,choices!A:A,0)+12),""),IF(M45=INDEX(choices!A:A,MATCH(M45,choices!A:A,0)+12), "
",""),IF(M45=INDEX(choices!A:A,MATCH(M45,choices!A:A,0)+13),INDEX(choices!C:C,MATCH(M45,choices!A:A,0)+13),""),IF(M45=INDEX(choices!A:A,MATCH(M45,choices!A:A,0)+13), "
",""),IF(M45=INDEX(choices!A:A,MATCH(M45,choices!A:A,0)+14),INDEX(choices!C:C,MATCH(M45,choices!A:A,0)+14),""),IF(M45=INDEX(choices!A:A,MATCH(M45,choices!A:A,0)+14), "
",""),IF(M45=INDEX(choices!A:A,MATCH(M45,choices!A:A,0)+15),INDEX(choices!C:C,MATCH(M45,choices!A:A,0)+15),""),IF(M45=INDEX(choices!A:A,MATCH(M45,choices!A:A,0)+15), "
",""),IF(M45=INDEX(choices!A:A,MATCH(M45,choices!A:A,0)+16),INDEX(choices!C:C,MATCH(M45,choices!A:A,0)+16),""),IF(M45=INDEX(choices!A:A,MATCH(M45,choices!A:A,0)+16), "
",""),IF(M45=INDEX(choices!A:A,MATCH(M45,choices!A:A,0)+17),INDEX(choices!C:C,MATCH(M45,choices!A:A,0)+17),""),IF(M45=INDEX(choices!A:A,MATCH(M45,choices!A:A,0)+17), "
",""),IF(M45=INDEX(choices!A:A,MATCH(M45,choices!A:A,0)+18),INDEX(choices!C:C,MATCH(M45,choices!A:A,0)+18),""),IF(M45=INDEX(choices!A:A,MATCH(M45,choices!A:A,0)+18), "
",""),IF(M45=INDEX(choices!A:A,MATCH(M45,choices!A:A,0)+19),INDEX(choices!C:C,MATCH(M45,choices!A:A,0)+19),""),IF(M45=INDEX(choices!A:A,MATCH(M45,choices!A:A,0)+19), "
",""),IF(M45=INDEX(choices!A:A,MATCH(M45,choices!A:A,0)+20),INDEX(choices!C:C,MATCH(M45,choices!A:A,0)+20),""),IF(M45=INDEX(choices!A:A,MATCH(M45,choices!A:A,0)+20), "
","")," ")</f>
        <v xml:space="preserve">1. مواسير شبكة مياه عامة  - حنفية  داخل الوحدة السكنية 
2. مواسير شبكة مياه عامة  - حنفية خارج الوحدة السكنية 
3. بئر مغطى/طلمبة
4. بئر مفتوح
5. حنفية عمومية 
6. نهر أو ترعة
7. بائع مياه/عربه مياه 
8. مياه معدنية
97. أخرى
 </v>
      </c>
      <c r="H45" s="67" t="s">
        <v>266</v>
      </c>
      <c r="I45" s="30">
        <f>I41+1</f>
        <v>409</v>
      </c>
      <c r="K45" s="21"/>
      <c r="L45" s="21" t="s">
        <v>18</v>
      </c>
      <c r="M45" s="21" t="s">
        <v>40</v>
      </c>
      <c r="N45" s="21" t="str">
        <f>CONCATENATE("q", I45)</f>
        <v>q409</v>
      </c>
      <c r="O45" s="48" t="str">
        <f>CONCATENATE(I45,". ",E45)</f>
        <v xml:space="preserve">409. ما هو المصدر الأساسي لمياه الشرب؟ </v>
      </c>
      <c r="P45" s="127" t="str">
        <f>CONCATENATE(A45, ". ", B45)</f>
        <v>q409. What is the main source of drinking water supply?</v>
      </c>
      <c r="Q45" s="58"/>
      <c r="R45" s="58"/>
      <c r="S45" s="127" t="str">
        <f>'1_0_statistical_identification'!S164</f>
        <v>(data('valid_overall') == 1)</v>
      </c>
      <c r="T45" s="127"/>
      <c r="U45" s="127"/>
      <c r="V45" s="30"/>
      <c r="Y45" s="18" t="b">
        <v>1</v>
      </c>
      <c r="Z45" s="64"/>
      <c r="AC45" s="114"/>
    </row>
    <row r="46" spans="1:29" s="1" customFormat="1" ht="30">
      <c r="A46" s="14"/>
      <c r="B46" s="129"/>
      <c r="C46" s="129"/>
      <c r="D46" s="28"/>
      <c r="E46" s="129"/>
      <c r="F46" s="129"/>
      <c r="G46" s="133"/>
      <c r="H46" s="133"/>
      <c r="I46" s="28"/>
      <c r="J46" s="43" t="s">
        <v>23</v>
      </c>
      <c r="K46" s="28" t="str">
        <f>CONCATENATE("selected (data('",A45,"'), '97')")</f>
        <v>selected (data('q409'), '97')</v>
      </c>
      <c r="L46" s="19"/>
      <c r="M46" s="12"/>
      <c r="N46" s="14"/>
      <c r="O46" s="48"/>
      <c r="P46" s="31"/>
      <c r="Q46" s="28"/>
      <c r="R46" s="28"/>
      <c r="S46" s="31"/>
      <c r="T46" s="31"/>
      <c r="U46" s="31"/>
      <c r="V46" s="28"/>
      <c r="Y46" s="14"/>
      <c r="Z46" s="64"/>
      <c r="AA46" s="19"/>
      <c r="AB46" s="19"/>
      <c r="AC46" s="14"/>
    </row>
    <row r="47" spans="1:29" s="1" customFormat="1" ht="75">
      <c r="A47" s="14" t="str">
        <f>CONCATENATE("q",I47)</f>
        <v>q409_other</v>
      </c>
      <c r="B47" s="129" t="s">
        <v>393</v>
      </c>
      <c r="C47" s="129"/>
      <c r="D47" s="28"/>
      <c r="E47" s="129" t="s">
        <v>1088</v>
      </c>
      <c r="F47" s="129"/>
      <c r="G47" s="133"/>
      <c r="H47" s="133"/>
      <c r="I47" s="28" t="str">
        <f>CONCATENATE(I45,"_other")</f>
        <v>409_other</v>
      </c>
      <c r="J47" s="43"/>
      <c r="K47" s="28"/>
      <c r="L47" s="19" t="s">
        <v>8</v>
      </c>
      <c r="M47" s="12"/>
      <c r="N47" s="14" t="str">
        <f>CONCATENATE("q",I47)</f>
        <v>q409_other</v>
      </c>
      <c r="O47" s="86" t="str">
        <f>CONCATENATE(I47,". ",E47)</f>
        <v>409_other. أخرى</v>
      </c>
      <c r="P47" s="86" t="str">
        <f>CONCATENATE($I47,". ",B47)</f>
        <v xml:space="preserve">409_other. Other: </v>
      </c>
      <c r="Q47" s="28"/>
      <c r="R47" s="28"/>
      <c r="S47" s="86" t="str">
        <f>CONCATENATE(K46, " &amp;&amp; ", '1_0_statistical_identification'!$S$164)</f>
        <v>selected (data('q409'), '97') &amp;&amp; (data('valid_overall') == 1)</v>
      </c>
      <c r="T47" s="86"/>
      <c r="U47" s="86"/>
      <c r="V47" s="28"/>
      <c r="Y47" s="14" t="b">
        <v>1</v>
      </c>
      <c r="Z47" s="64"/>
      <c r="AA47" s="19"/>
      <c r="AB47" s="19"/>
      <c r="AC47" s="14"/>
    </row>
    <row r="48" spans="1:29" s="1" customFormat="1" ht="15">
      <c r="A48" s="14"/>
      <c r="B48" s="129"/>
      <c r="C48" s="129"/>
      <c r="D48" s="28"/>
      <c r="E48" s="129"/>
      <c r="F48" s="129"/>
      <c r="G48" s="133"/>
      <c r="H48" s="134"/>
      <c r="I48" s="28"/>
      <c r="J48" s="43" t="s">
        <v>24</v>
      </c>
      <c r="K48" s="28"/>
      <c r="L48" s="19"/>
      <c r="M48" s="12"/>
      <c r="N48" s="14"/>
      <c r="O48" s="48"/>
      <c r="P48" s="31"/>
      <c r="Q48" s="28"/>
      <c r="R48" s="28"/>
      <c r="S48" s="31"/>
      <c r="T48" s="31"/>
      <c r="U48" s="31"/>
      <c r="V48" s="28"/>
      <c r="Y48" s="14"/>
      <c r="Z48" s="64"/>
      <c r="AA48" s="19"/>
      <c r="AB48" s="19"/>
      <c r="AC48" s="14"/>
    </row>
    <row r="49" spans="1:29" s="1" customFormat="1" ht="15">
      <c r="A49" s="14"/>
      <c r="B49" s="129"/>
      <c r="C49" s="129"/>
      <c r="D49" s="28"/>
      <c r="E49" s="129"/>
      <c r="F49" s="129"/>
      <c r="G49" s="133"/>
      <c r="H49" s="134"/>
      <c r="I49" s="28"/>
      <c r="J49" s="43" t="s">
        <v>21</v>
      </c>
      <c r="K49" s="28"/>
      <c r="L49" s="19"/>
      <c r="M49" s="12"/>
      <c r="N49" s="14"/>
      <c r="O49" s="48"/>
      <c r="P49" s="31"/>
      <c r="Q49" s="28"/>
      <c r="R49" s="28"/>
      <c r="S49" s="31"/>
      <c r="T49" s="31"/>
      <c r="U49" s="31"/>
      <c r="V49" s="28"/>
      <c r="Y49" s="14"/>
      <c r="Z49" s="64"/>
      <c r="AA49" s="19"/>
      <c r="AB49" s="19"/>
      <c r="AC49" s="14"/>
    </row>
    <row r="50" spans="1:29" s="1" customFormat="1" ht="15">
      <c r="A50" s="14"/>
      <c r="B50" s="129"/>
      <c r="C50" s="129"/>
      <c r="D50" s="28"/>
      <c r="E50" s="129"/>
      <c r="F50" s="129"/>
      <c r="G50" s="133"/>
      <c r="H50" s="134"/>
      <c r="I50" s="28"/>
      <c r="J50" s="43" t="s">
        <v>20</v>
      </c>
      <c r="K50" s="28"/>
      <c r="L50" s="19"/>
      <c r="M50" s="12"/>
      <c r="N50" s="14"/>
      <c r="O50" s="48"/>
      <c r="P50" s="31"/>
      <c r="Q50" s="28"/>
      <c r="R50" s="28"/>
      <c r="S50" s="31"/>
      <c r="T50" s="31"/>
      <c r="U50" s="31"/>
      <c r="V50" s="28"/>
      <c r="Y50" s="14"/>
      <c r="Z50" s="64"/>
      <c r="AA50" s="19"/>
      <c r="AB50" s="19"/>
      <c r="AC50" s="14"/>
    </row>
    <row r="51" spans="1:29" s="18" customFormat="1" ht="285">
      <c r="A51" s="18" t="str">
        <f t="shared" si="1"/>
        <v>q410</v>
      </c>
      <c r="B51" s="67" t="s">
        <v>336</v>
      </c>
      <c r="C51" s="67"/>
      <c r="D51" s="127" t="str">
        <f>CONCATENATE(INDEX(choices!D:D,MATCH(M51,choices!A:A,0)),"
",IF(M51=INDEX(choices!A:A,MATCH(M51,choices!A:A,0)+1),INDEX(choices!D:D,MATCH(M51,choices!A:A,0)+1),""),IF(M51=INDEX(choices!A:A,MATCH(M51,choices!A:A,0)+1), "
",""),IF(M51=INDEX(choices!A:A,MATCH(M51,choices!A:A,0)+2),INDEX(choices!D:D,MATCH(M51,choices!A:A,0)+2),""),IF(M51=INDEX(choices!A:A,MATCH(M51,choices!A:A,0)+2), "
",""),IF(M51=INDEX(choices!A:A,MATCH(M51,choices!A:A,0)+3),INDEX(choices!D:D,MATCH(M51,choices!A:A,0)+3),""),IF(M51=INDEX(choices!A:A,MATCH(M51,choices!A:A,0)+3), "
",""),IF(M51=INDEX(choices!A:A,MATCH(M51,choices!A:A,0)+4),INDEX(choices!D:D,MATCH(M51,choices!A:A,0)+4),""),IF(M51=INDEX(choices!A:A,MATCH(M51,choices!A:A,0)+4), "
",""),IF(M51=INDEX(choices!A:A,MATCH(M51,choices!A:A,0)+5),INDEX(choices!D:D,MATCH(M51,choices!A:A,0)+5),""),IF(M51=INDEX(choices!A:A,MATCH(M51,choices!A:A,0)+5), "
",""),IF(M51=INDEX(choices!A:A,MATCH(M51,choices!A:A,0)+6),INDEX(choices!D:D,MATCH(M51,choices!A:A,0)+6),""),IF(M51=INDEX(choices!A:A,MATCH(M51,choices!A:A,0)+6), "
",""),IF(M51=INDEX(choices!A:A,MATCH(M51,choices!A:A,0)+7),INDEX(choices!D:D,MATCH(M51,choices!A:A,0)+7),""),IF(M51=INDEX(choices!A:A,MATCH(M51,choices!A:A,0)+7), "
",""),IF(M51=INDEX(choices!A:A,MATCH(M51,choices!A:A,0)+8),INDEX(choices!D:D,MATCH(M51,choices!A:A,0)+8),""),IF(M51=INDEX(choices!A:A,MATCH(M51,choices!A:A,0)+8), "
",""),IF(M51=INDEX(choices!A:A,MATCH(M51,choices!A:A,0)+9),INDEX(choices!D:D,MATCH(M51,choices!A:A,0)+9),""),IF(M51=INDEX(choices!A:A,MATCH(M51,choices!A:A,0)+9), "
",""),IF(M51=INDEX(choices!A:A,MATCH(M51,choices!A:A,0)+10),INDEX(choices!D:D,MATCH(M51,choices!A:A,0)+10),""),IF(M51=INDEX(choices!A:A,MATCH(M51,choices!A:A,0)+10), "
",""),IF(M51=INDEX(choices!A:A,MATCH(M51,choices!A:A,0)+11),INDEX(choices!D:D,MATCH(M51,choices!A:A,0)+11),""),IF(M51=INDEX(choices!A:A,MATCH(M51,choices!A:A,0)+11), "
",""),IF(M51=INDEX(choices!A:A,MATCH(M51,choices!A:A,0)+12),INDEX(choices!D:D,MATCH(M51,choices!A:A,0)+12),""),IF(M51=INDEX(choices!A:A,MATCH(M51,choices!A:A,0)+12), "
",""),IF(M51=INDEX(choices!A:A,MATCH(M51,choices!A:A,0)+13),INDEX(choices!D:D,MATCH(M51,choices!A:A,0)+13),""),IF(M51=INDEX(choices!A:A,MATCH(M51,choices!A:A,0)+13), "
",""),IF(M51=INDEX(choices!A:A,MATCH(M51,choices!A:A,0)+14),INDEX(choices!D:D,MATCH(M51,choices!A:A,0)+14),""),IF(M51=INDEX(choices!A:A,MATCH(M51,choices!A:A,0)+14), "
",""),IF(M51=INDEX(choices!A:A,MATCH(M51,choices!A:A,0)+15),INDEX(choices!D:D,MATCH(M51,choices!A:A,0)+15),""),IF(M51=INDEX(choices!A:A,MATCH(M51,choices!A:A,0)+15), "
",""),IF(M51=INDEX(choices!A:A,MATCH(M51,choices!A:A,0)+16),INDEX(choices!D:D,MATCH(M51,choices!A:A,0)+16),""),IF(M51=INDEX(choices!A:A,MATCH(M51,choices!A:A,0)+16), "
",""),IF(M51=INDEX(choices!A:A,MATCH(M51,choices!A:A,0)+17),INDEX(choices!D:D,MATCH(M51,choices!A:A,0)+17),""),IF(M51=INDEX(choices!A:A,MATCH(M51,choices!A:A,0)+17), "
",""),IF(M51=INDEX(choices!A:A,MATCH(M51,choices!A:A,0)+18),INDEX(choices!D:D,MATCH(M51,choices!A:A,0)+18),""),IF(M51=INDEX(choices!A:A,MATCH(M51,choices!A:A,0)+18), "
",""),IF(M51=INDEX(choices!A:A,MATCH(M51,choices!A:A,0)+19),INDEX(choices!D:D,MATCH(M51,choices!A:A,0)+19),""),IF(M51=INDEX(choices!A:A,MATCH(M51,choices!A:A,0)+19), "
",""),IF(M51=INDEX(choices!A:A,MATCH(M51,choices!A:A,0)+20),INDEX(choices!D:D,MATCH(M51,choices!A:A,0)+20),""),IF(M51=INDEX(choices!A:A,MATCH(M51,choices!A:A,0)+20), "
",""))</f>
        <v xml:space="preserve">1. Tap water inside the dwelling
2. Tap water outside the dwelling
3. Pump/closed well
4. Open well (ex. Sinai)
5. Public tap
6. River or stream
7. Water seller
8. Mineral water
97. Other
</v>
      </c>
      <c r="E51" s="310" t="s">
        <v>1096</v>
      </c>
      <c r="F51" s="310"/>
      <c r="G51" s="67" t="str">
        <f>CONCATENATE(INDEX(choices!C:C,MATCH(M51,choices!A:A,0)),"
",IF(M51=INDEX(choices!A:A,MATCH(M51,choices!A:A,0)+1),INDEX(choices!C:C,MATCH(M51,choices!A:A,0)+1),""),IF(M51=INDEX(choices!A:A,MATCH(M51,choices!A:A,0)+1), "
",""),IF(M51=INDEX(choices!A:A,MATCH(M51,choices!A:A,0)+2),INDEX(choices!C:C,MATCH(M51,choices!A:A,0)+2),""),IF(M51=INDEX(choices!A:A,MATCH(M51,choices!A:A,0)+2), "
",""),IF(M51=INDEX(choices!A:A,MATCH(M51,choices!A:A,0)+3),INDEX(choices!C:C,MATCH(M51,choices!A:A,0)+3),""),IF(M51=INDEX(choices!A:A,MATCH(M51,choices!A:A,0)+3), "
",""),IF(M51=INDEX(choices!A:A,MATCH(M51,choices!A:A,0)+4),INDEX(choices!C:C,MATCH(M51,choices!A:A,0)+4),""),IF(M51=INDEX(choices!A:A,MATCH(M51,choices!A:A,0)+4), "
",""),IF(M51=INDEX(choices!A:A,MATCH(M51,choices!A:A,0)+5),INDEX(choices!C:C,MATCH(M51,choices!A:A,0)+5),""),IF(M51=INDEX(choices!A:A,MATCH(M51,choices!A:A,0)+5), "
",""),IF(M51=INDEX(choices!A:A,MATCH(M51,choices!A:A,0)+6),INDEX(choices!C:C,MATCH(M51,choices!A:A,0)+6),""),IF(M51=INDEX(choices!A:A,MATCH(M51,choices!A:A,0)+6), "
",""),IF(M51=INDEX(choices!A:A,MATCH(M51,choices!A:A,0)+7),INDEX(choices!C:C,MATCH(M51,choices!A:A,0)+7),""),IF(M51=INDEX(choices!A:A,MATCH(M51,choices!A:A,0)+7), "
",""),IF(M51=INDEX(choices!A:A,MATCH(M51,choices!A:A,0)+8),INDEX(choices!C:C,MATCH(M51,choices!A:A,0)+8),""),IF(M51=INDEX(choices!A:A,MATCH(M51,choices!A:A,0)+8), "
",""),IF(M51=INDEX(choices!A:A,MATCH(M51,choices!A:A,0)+9),INDEX(choices!C:C,MATCH(M51,choices!A:A,0)+9),""),IF(M51=INDEX(choices!A:A,MATCH(M51,choices!A:A,0)+9), "
",""),IF(M51=INDEX(choices!A:A,MATCH(M51,choices!A:A,0)+10),INDEX(choices!C:C,MATCH(M51,choices!A:A,0)+10),""),IF(M51=INDEX(choices!A:A,MATCH(M51,choices!A:A,0)+10), "
",""),IF(M51=INDEX(choices!A:A,MATCH(M51,choices!A:A,0)+11),INDEX(choices!C:C,MATCH(M51,choices!A:A,0)+11),""),IF(M51=INDEX(choices!A:A,MATCH(M51,choices!A:A,0)+11), "
",""),IF(M51=INDEX(choices!A:A,MATCH(M51,choices!A:A,0)+12),INDEX(choices!C:C,MATCH(M51,choices!A:A,0)+12),""),IF(M51=INDEX(choices!A:A,MATCH(M51,choices!A:A,0)+12), "
",""),IF(M51=INDEX(choices!A:A,MATCH(M51,choices!A:A,0)+13),INDEX(choices!C:C,MATCH(M51,choices!A:A,0)+13),""),IF(M51=INDEX(choices!A:A,MATCH(M51,choices!A:A,0)+13), "
",""),IF(M51=INDEX(choices!A:A,MATCH(M51,choices!A:A,0)+14),INDEX(choices!C:C,MATCH(M51,choices!A:A,0)+14),""),IF(M51=INDEX(choices!A:A,MATCH(M51,choices!A:A,0)+14), "
",""),IF(M51=INDEX(choices!A:A,MATCH(M51,choices!A:A,0)+15),INDEX(choices!C:C,MATCH(M51,choices!A:A,0)+15),""),IF(M51=INDEX(choices!A:A,MATCH(M51,choices!A:A,0)+15), "
",""),IF(M51=INDEX(choices!A:A,MATCH(M51,choices!A:A,0)+16),INDEX(choices!C:C,MATCH(M51,choices!A:A,0)+16),""),IF(M51=INDEX(choices!A:A,MATCH(M51,choices!A:A,0)+16), "
",""),IF(M51=INDEX(choices!A:A,MATCH(M51,choices!A:A,0)+17),INDEX(choices!C:C,MATCH(M51,choices!A:A,0)+17),""),IF(M51=INDEX(choices!A:A,MATCH(M51,choices!A:A,0)+17), "
",""),IF(M51=INDEX(choices!A:A,MATCH(M51,choices!A:A,0)+18),INDEX(choices!C:C,MATCH(M51,choices!A:A,0)+18),""),IF(M51=INDEX(choices!A:A,MATCH(M51,choices!A:A,0)+18), "
",""),IF(M51=INDEX(choices!A:A,MATCH(M51,choices!A:A,0)+19),INDEX(choices!C:C,MATCH(M51,choices!A:A,0)+19),""),IF(M51=INDEX(choices!A:A,MATCH(M51,choices!A:A,0)+19), "
",""),IF(M51=INDEX(choices!A:A,MATCH(M51,choices!A:A,0)+20),INDEX(choices!C:C,MATCH(M51,choices!A:A,0)+20),""),IF(M51=INDEX(choices!A:A,MATCH(M51,choices!A:A,0)+20), "
","")," ")</f>
        <v xml:space="preserve">1. مواسير شبكة مياه عامة  - حنفية  داخل الوحدة السكنية 
2. مواسير شبكة مياه عامة  - حنفية خارج الوحدة السكنية 
3. بئر مغطى/طلمبة
4.بئر مفتوح
5. حنفية عمومية 
6. نهر أو ترعة
7. بائع مياه/عربة مياه 
8. مياه معدنية
97. أخرى
 </v>
      </c>
      <c r="H51" s="67" t="s">
        <v>266</v>
      </c>
      <c r="I51" s="30">
        <f>I45+1</f>
        <v>410</v>
      </c>
      <c r="K51" s="21"/>
      <c r="L51" s="21" t="s">
        <v>18</v>
      </c>
      <c r="M51" s="21" t="s">
        <v>37</v>
      </c>
      <c r="N51" s="21" t="str">
        <f>CONCATENATE("q", I51)</f>
        <v>q410</v>
      </c>
      <c r="O51" s="48" t="str">
        <f>CONCATENATE(I51,". ",E51)</f>
        <v>410. ما هو المصدر الأساسي للمياه المستخدمة لأغرض أخرى؟</v>
      </c>
      <c r="P51" s="127" t="str">
        <f>CONCATENATE(A51, ". ", B51)</f>
        <v>q410. What is the main source of the water used for utility?</v>
      </c>
      <c r="Q51" s="58"/>
      <c r="R51" s="58"/>
      <c r="S51" s="127" t="str">
        <f>'1_0_statistical_identification'!S164</f>
        <v>(data('valid_overall') == 1)</v>
      </c>
      <c r="T51" s="127"/>
      <c r="U51" s="127"/>
      <c r="V51" s="30"/>
      <c r="Y51" s="18" t="b">
        <v>1</v>
      </c>
      <c r="Z51" s="64"/>
      <c r="AC51" s="114"/>
    </row>
    <row r="52" spans="1:29" s="1" customFormat="1" ht="30">
      <c r="A52" s="14"/>
      <c r="B52" s="129"/>
      <c r="C52" s="129"/>
      <c r="D52" s="28"/>
      <c r="E52" s="129"/>
      <c r="F52" s="129"/>
      <c r="G52" s="133"/>
      <c r="H52" s="133"/>
      <c r="I52" s="28"/>
      <c r="J52" s="43" t="s">
        <v>23</v>
      </c>
      <c r="K52" s="28" t="str">
        <f>CONCATENATE("selected (data('",A51,"'), '97')")</f>
        <v>selected (data('q410'), '97')</v>
      </c>
      <c r="L52" s="19"/>
      <c r="M52" s="12"/>
      <c r="N52" s="14"/>
      <c r="O52" s="48"/>
      <c r="P52" s="31"/>
      <c r="Q52" s="28"/>
      <c r="R52" s="28"/>
      <c r="S52" s="31"/>
      <c r="T52" s="31"/>
      <c r="U52" s="31"/>
      <c r="V52" s="28"/>
      <c r="Y52" s="14"/>
      <c r="Z52" s="64"/>
      <c r="AA52" s="19"/>
      <c r="AB52" s="19"/>
      <c r="AC52" s="14"/>
    </row>
    <row r="53" spans="1:29" s="1" customFormat="1" ht="75">
      <c r="A53" s="14" t="str">
        <f>CONCATENATE("q",I53)</f>
        <v>q410_other</v>
      </c>
      <c r="B53" s="129" t="s">
        <v>393</v>
      </c>
      <c r="C53" s="129"/>
      <c r="D53" s="28"/>
      <c r="E53" s="129" t="s">
        <v>1088</v>
      </c>
      <c r="F53" s="129"/>
      <c r="G53" s="133"/>
      <c r="H53" s="133"/>
      <c r="I53" s="28" t="str">
        <f>CONCATENATE(I51,"_other")</f>
        <v>410_other</v>
      </c>
      <c r="J53" s="43"/>
      <c r="K53" s="28"/>
      <c r="L53" s="19" t="s">
        <v>8</v>
      </c>
      <c r="M53" s="12"/>
      <c r="N53" s="14" t="str">
        <f>CONCATENATE("q",I53)</f>
        <v>q410_other</v>
      </c>
      <c r="O53" s="86" t="str">
        <f>CONCATENATE(I53,". ",E53)</f>
        <v>410_other. أخرى</v>
      </c>
      <c r="P53" s="86" t="str">
        <f>CONCATENATE($I53,". ",B53)</f>
        <v xml:space="preserve">410_other. Other: </v>
      </c>
      <c r="Q53" s="28"/>
      <c r="R53" s="28"/>
      <c r="S53" s="86" t="str">
        <f>CONCATENATE(K52, " &amp;&amp; ", '1_0_statistical_identification'!$S$164)</f>
        <v>selected (data('q410'), '97') &amp;&amp; (data('valid_overall') == 1)</v>
      </c>
      <c r="T53" s="86"/>
      <c r="U53" s="86"/>
      <c r="V53" s="28"/>
      <c r="Y53" s="14" t="b">
        <v>1</v>
      </c>
      <c r="Z53" s="64"/>
      <c r="AA53" s="19"/>
      <c r="AB53" s="19"/>
      <c r="AC53" s="14"/>
    </row>
    <row r="54" spans="1:29" s="1" customFormat="1" ht="15">
      <c r="A54" s="14"/>
      <c r="B54" s="129"/>
      <c r="C54" s="129"/>
      <c r="D54" s="28"/>
      <c r="E54" s="129"/>
      <c r="F54" s="129"/>
      <c r="G54" s="133"/>
      <c r="H54" s="134"/>
      <c r="I54" s="28"/>
      <c r="J54" s="43" t="s">
        <v>24</v>
      </c>
      <c r="K54" s="28"/>
      <c r="L54" s="19"/>
      <c r="M54" s="12"/>
      <c r="N54" s="14"/>
      <c r="O54" s="48"/>
      <c r="P54" s="31"/>
      <c r="Q54" s="28"/>
      <c r="R54" s="28"/>
      <c r="S54" s="31"/>
      <c r="T54" s="31"/>
      <c r="U54" s="31"/>
      <c r="V54" s="28"/>
      <c r="Y54" s="14"/>
      <c r="Z54" s="64"/>
      <c r="AA54" s="19"/>
      <c r="AB54" s="19"/>
      <c r="AC54" s="14"/>
    </row>
    <row r="55" spans="1:29" s="1" customFormat="1" ht="15">
      <c r="A55" s="14"/>
      <c r="B55" s="129"/>
      <c r="C55" s="129"/>
      <c r="D55" s="28"/>
      <c r="E55" s="129"/>
      <c r="F55" s="129"/>
      <c r="G55" s="133"/>
      <c r="H55" s="134"/>
      <c r="I55" s="28"/>
      <c r="J55" s="43" t="s">
        <v>21</v>
      </c>
      <c r="K55" s="28"/>
      <c r="L55" s="19"/>
      <c r="M55" s="12"/>
      <c r="N55" s="14"/>
      <c r="O55" s="48"/>
      <c r="P55" s="31"/>
      <c r="Q55" s="28"/>
      <c r="R55" s="28"/>
      <c r="S55" s="31"/>
      <c r="T55" s="31"/>
      <c r="U55" s="31"/>
      <c r="V55" s="28"/>
      <c r="Y55" s="14"/>
      <c r="Z55" s="64"/>
      <c r="AA55" s="19"/>
      <c r="AB55" s="19"/>
      <c r="AC55" s="14"/>
    </row>
    <row r="56" spans="1:29" s="1" customFormat="1" ht="15">
      <c r="A56" s="14"/>
      <c r="B56" s="129"/>
      <c r="C56" s="129"/>
      <c r="D56" s="28"/>
      <c r="E56" s="129"/>
      <c r="F56" s="129"/>
      <c r="G56" s="133"/>
      <c r="H56" s="134"/>
      <c r="I56" s="28"/>
      <c r="J56" s="43" t="s">
        <v>20</v>
      </c>
      <c r="K56" s="28"/>
      <c r="L56" s="19"/>
      <c r="M56" s="12"/>
      <c r="N56" s="14"/>
      <c r="O56" s="48"/>
      <c r="P56" s="31"/>
      <c r="Q56" s="28"/>
      <c r="R56" s="28"/>
      <c r="S56" s="31"/>
      <c r="T56" s="31"/>
      <c r="U56" s="31"/>
      <c r="V56" s="28"/>
      <c r="Y56" s="14"/>
      <c r="Z56" s="64"/>
      <c r="AA56" s="19"/>
      <c r="AB56" s="19"/>
      <c r="AC56" s="14"/>
    </row>
    <row r="57" spans="1:29" s="18" customFormat="1" ht="165">
      <c r="A57" s="18" t="str">
        <f t="shared" si="1"/>
        <v>q411</v>
      </c>
      <c r="B57" s="67" t="s">
        <v>337</v>
      </c>
      <c r="C57" s="67"/>
      <c r="D57" s="127" t="str">
        <f>CONCATENATE(INDEX(choices!D:D,MATCH(M57,choices!A:A,0)),"
",IF(M57=INDEX(choices!A:A,MATCH(M57,choices!A:A,0)+1),INDEX(choices!D:D,MATCH(M57,choices!A:A,0)+1),""),IF(M57=INDEX(choices!A:A,MATCH(M57,choices!A:A,0)+1), "
",""),IF(M57=INDEX(choices!A:A,MATCH(M57,choices!A:A,0)+2),INDEX(choices!D:D,MATCH(M57,choices!A:A,0)+2),""),IF(M57=INDEX(choices!A:A,MATCH(M57,choices!A:A,0)+2), "
",""),IF(M57=INDEX(choices!A:A,MATCH(M57,choices!A:A,0)+3),INDEX(choices!D:D,MATCH(M57,choices!A:A,0)+3),""),IF(M57=INDEX(choices!A:A,MATCH(M57,choices!A:A,0)+3), "
",""),IF(M57=INDEX(choices!A:A,MATCH(M57,choices!A:A,0)+4),INDEX(choices!D:D,MATCH(M57,choices!A:A,0)+4),""),IF(M57=INDEX(choices!A:A,MATCH(M57,choices!A:A,0)+4), "
",""),IF(M57=INDEX(choices!A:A,MATCH(M57,choices!A:A,0)+5),INDEX(choices!D:D,MATCH(M57,choices!A:A,0)+5),""),IF(M57=INDEX(choices!A:A,MATCH(M57,choices!A:A,0)+5), "
",""),IF(M57=INDEX(choices!A:A,MATCH(M57,choices!A:A,0)+6),INDEX(choices!D:D,MATCH(M57,choices!A:A,0)+6),""),IF(M57=INDEX(choices!A:A,MATCH(M57,choices!A:A,0)+6), "
",""),IF(M57=INDEX(choices!A:A,MATCH(M57,choices!A:A,0)+7),INDEX(choices!D:D,MATCH(M57,choices!A:A,0)+7),""),IF(M57=INDEX(choices!A:A,MATCH(M57,choices!A:A,0)+7), "
",""),IF(M57=INDEX(choices!A:A,MATCH(M57,choices!A:A,0)+8),INDEX(choices!D:D,MATCH(M57,choices!A:A,0)+8),""),IF(M57=INDEX(choices!A:A,MATCH(M57,choices!A:A,0)+8), "
",""),IF(M57=INDEX(choices!A:A,MATCH(M57,choices!A:A,0)+9),INDEX(choices!D:D,MATCH(M57,choices!A:A,0)+9),""),IF(M57=INDEX(choices!A:A,MATCH(M57,choices!A:A,0)+9), "
",""),IF(M57=INDEX(choices!A:A,MATCH(M57,choices!A:A,0)+10),INDEX(choices!D:D,MATCH(M57,choices!A:A,0)+10),""),IF(M57=INDEX(choices!A:A,MATCH(M57,choices!A:A,0)+10), "
",""),IF(M57=INDEX(choices!A:A,MATCH(M57,choices!A:A,0)+11),INDEX(choices!D:D,MATCH(M57,choices!A:A,0)+11),""),IF(M57=INDEX(choices!A:A,MATCH(M57,choices!A:A,0)+11), "
",""),IF(M57=INDEX(choices!A:A,MATCH(M57,choices!A:A,0)+12),INDEX(choices!D:D,MATCH(M57,choices!A:A,0)+12),""),IF(M57=INDEX(choices!A:A,MATCH(M57,choices!A:A,0)+12), "
",""),IF(M57=INDEX(choices!A:A,MATCH(M57,choices!A:A,0)+13),INDEX(choices!D:D,MATCH(M57,choices!A:A,0)+13),""),IF(M57=INDEX(choices!A:A,MATCH(M57,choices!A:A,0)+13), "
",""),IF(M57=INDEX(choices!A:A,MATCH(M57,choices!A:A,0)+14),INDEX(choices!D:D,MATCH(M57,choices!A:A,0)+14),""),IF(M57=INDEX(choices!A:A,MATCH(M57,choices!A:A,0)+14), "
",""),IF(M57=INDEX(choices!A:A,MATCH(M57,choices!A:A,0)+15),INDEX(choices!D:D,MATCH(M57,choices!A:A,0)+15),""),IF(M57=INDEX(choices!A:A,MATCH(M57,choices!A:A,0)+15), "
",""),IF(M57=INDEX(choices!A:A,MATCH(M57,choices!A:A,0)+16),INDEX(choices!D:D,MATCH(M57,choices!A:A,0)+16),""),IF(M57=INDEX(choices!A:A,MATCH(M57,choices!A:A,0)+16), "
",""),IF(M57=INDEX(choices!A:A,MATCH(M57,choices!A:A,0)+17),INDEX(choices!D:D,MATCH(M57,choices!A:A,0)+17),""),IF(M57=INDEX(choices!A:A,MATCH(M57,choices!A:A,0)+17), "
",""),IF(M57=INDEX(choices!A:A,MATCH(M57,choices!A:A,0)+18),INDEX(choices!D:D,MATCH(M57,choices!A:A,0)+18),""),IF(M57=INDEX(choices!A:A,MATCH(M57,choices!A:A,0)+18), "
",""),IF(M57=INDEX(choices!A:A,MATCH(M57,choices!A:A,0)+19),INDEX(choices!D:D,MATCH(M57,choices!A:A,0)+19),""),IF(M57=INDEX(choices!A:A,MATCH(M57,choices!A:A,0)+19), "
",""),IF(M57=INDEX(choices!A:A,MATCH(M57,choices!A:A,0)+20),INDEX(choices!D:D,MATCH(M57,choices!A:A,0)+20),""),IF(M57=INDEX(choices!A:A,MATCH(M57,choices!A:A,0)+20), "
",""))</f>
        <v xml:space="preserve">1. Public/general electric network
2. Private generator
3. Gas
4. Kerosene
5. Solar
97. Other
</v>
      </c>
      <c r="E57" s="310" t="s">
        <v>1097</v>
      </c>
      <c r="F57" s="310"/>
      <c r="G57" s="67" t="str">
        <f>CONCATENATE(INDEX(choices!C:C,MATCH(M57,choices!A:A,0)),"
",IF(M57=INDEX(choices!A:A,MATCH(M57,choices!A:A,0)+1),INDEX(choices!C:C,MATCH(M57,choices!A:A,0)+1),""),IF(M57=INDEX(choices!A:A,MATCH(M57,choices!A:A,0)+1), "
",""),IF(M57=INDEX(choices!A:A,MATCH(M57,choices!A:A,0)+2),INDEX(choices!C:C,MATCH(M57,choices!A:A,0)+2),""),IF(M57=INDEX(choices!A:A,MATCH(M57,choices!A:A,0)+2), "
",""),IF(M57=INDEX(choices!A:A,MATCH(M57,choices!A:A,0)+3),INDEX(choices!C:C,MATCH(M57,choices!A:A,0)+3),""),IF(M57=INDEX(choices!A:A,MATCH(M57,choices!A:A,0)+3), "
",""),IF(M57=INDEX(choices!A:A,MATCH(M57,choices!A:A,0)+4),INDEX(choices!C:C,MATCH(M57,choices!A:A,0)+4),""),IF(M57=INDEX(choices!A:A,MATCH(M57,choices!A:A,0)+4), "
",""),IF(M57=INDEX(choices!A:A,MATCH(M57,choices!A:A,0)+5),INDEX(choices!C:C,MATCH(M57,choices!A:A,0)+5),""),IF(M57=INDEX(choices!A:A,MATCH(M57,choices!A:A,0)+5), "
",""),IF(M57=INDEX(choices!A:A,MATCH(M57,choices!A:A,0)+6),INDEX(choices!C:C,MATCH(M57,choices!A:A,0)+6),""),IF(M57=INDEX(choices!A:A,MATCH(M57,choices!A:A,0)+6), "
",""),IF(M57=INDEX(choices!A:A,MATCH(M57,choices!A:A,0)+7),INDEX(choices!C:C,MATCH(M57,choices!A:A,0)+7),""),IF(M57=INDEX(choices!A:A,MATCH(M57,choices!A:A,0)+7), "
",""),IF(M57=INDEX(choices!A:A,MATCH(M57,choices!A:A,0)+8),INDEX(choices!C:C,MATCH(M57,choices!A:A,0)+8),""),IF(M57=INDEX(choices!A:A,MATCH(M57,choices!A:A,0)+8), "
",""),IF(M57=INDEX(choices!A:A,MATCH(M57,choices!A:A,0)+9),INDEX(choices!C:C,MATCH(M57,choices!A:A,0)+9),""),IF(M57=INDEX(choices!A:A,MATCH(M57,choices!A:A,0)+9), "
",""),IF(M57=INDEX(choices!A:A,MATCH(M57,choices!A:A,0)+10),INDEX(choices!C:C,MATCH(M57,choices!A:A,0)+10),""),IF(M57=INDEX(choices!A:A,MATCH(M57,choices!A:A,0)+10), "
",""),IF(M57=INDEX(choices!A:A,MATCH(M57,choices!A:A,0)+11),INDEX(choices!C:C,MATCH(M57,choices!A:A,0)+11),""),IF(M57=INDEX(choices!A:A,MATCH(M57,choices!A:A,0)+11), "
",""),IF(M57=INDEX(choices!A:A,MATCH(M57,choices!A:A,0)+12),INDEX(choices!C:C,MATCH(M57,choices!A:A,0)+12),""),IF(M57=INDEX(choices!A:A,MATCH(M57,choices!A:A,0)+12), "
",""),IF(M57=INDEX(choices!A:A,MATCH(M57,choices!A:A,0)+13),INDEX(choices!C:C,MATCH(M57,choices!A:A,0)+13),""),IF(M57=INDEX(choices!A:A,MATCH(M57,choices!A:A,0)+13), "
",""),IF(M57=INDEX(choices!A:A,MATCH(M57,choices!A:A,0)+14),INDEX(choices!C:C,MATCH(M57,choices!A:A,0)+14),""),IF(M57=INDEX(choices!A:A,MATCH(M57,choices!A:A,0)+14), "
",""),IF(M57=INDEX(choices!A:A,MATCH(M57,choices!A:A,0)+15),INDEX(choices!C:C,MATCH(M57,choices!A:A,0)+15),""),IF(M57=INDEX(choices!A:A,MATCH(M57,choices!A:A,0)+15), "
",""),IF(M57=INDEX(choices!A:A,MATCH(M57,choices!A:A,0)+16),INDEX(choices!C:C,MATCH(M57,choices!A:A,0)+16),""),IF(M57=INDEX(choices!A:A,MATCH(M57,choices!A:A,0)+16), "
",""),IF(M57=INDEX(choices!A:A,MATCH(M57,choices!A:A,0)+17),INDEX(choices!C:C,MATCH(M57,choices!A:A,0)+17),""),IF(M57=INDEX(choices!A:A,MATCH(M57,choices!A:A,0)+17), "
",""),IF(M57=INDEX(choices!A:A,MATCH(M57,choices!A:A,0)+18),INDEX(choices!C:C,MATCH(M57,choices!A:A,0)+18),""),IF(M57=INDEX(choices!A:A,MATCH(M57,choices!A:A,0)+18), "
",""),IF(M57=INDEX(choices!A:A,MATCH(M57,choices!A:A,0)+19),INDEX(choices!C:C,MATCH(M57,choices!A:A,0)+19),""),IF(M57=INDEX(choices!A:A,MATCH(M57,choices!A:A,0)+19), "
",""),IF(M57=INDEX(choices!A:A,MATCH(M57,choices!A:A,0)+20),INDEX(choices!C:C,MATCH(M57,choices!A:A,0)+20),""),IF(M57=INDEX(choices!A:A,MATCH(M57,choices!A:A,0)+20), "
","")," ")</f>
        <v xml:space="preserve">1. شبكة الكهرباء العامة
2. مولد خاص
3. البوتاجاز
4. الكيروسين
5. الطاقة الشمسية
97. أخرى
 </v>
      </c>
      <c r="H57" s="67" t="s">
        <v>266</v>
      </c>
      <c r="I57" s="30">
        <f>I51+1</f>
        <v>411</v>
      </c>
      <c r="K57" s="21"/>
      <c r="L57" s="21" t="s">
        <v>18</v>
      </c>
      <c r="M57" s="21" t="s">
        <v>30</v>
      </c>
      <c r="N57" s="21" t="str">
        <f>CONCATENATE("q", I57)</f>
        <v>q411</v>
      </c>
      <c r="O57" s="48" t="str">
        <f>CONCATENATE(I57,". ",E57)</f>
        <v>411. ما هو المصدر الأساسي للإنارة في مسكنك؟</v>
      </c>
      <c r="P57" s="127" t="str">
        <f>CONCATENATE(A57, ". ", B57)</f>
        <v>q411. What is the primary source of lighting?</v>
      </c>
      <c r="Q57" s="58"/>
      <c r="R57" s="58"/>
      <c r="S57" s="127" t="str">
        <f>'1_0_statistical_identification'!S164</f>
        <v>(data('valid_overall') == 1)</v>
      </c>
      <c r="T57" s="127"/>
      <c r="U57" s="127"/>
      <c r="V57" s="30"/>
      <c r="Y57" s="18" t="b">
        <v>1</v>
      </c>
      <c r="Z57" s="64"/>
      <c r="AC57" s="114"/>
    </row>
    <row r="58" spans="1:29" s="1" customFormat="1" ht="30">
      <c r="A58" s="14"/>
      <c r="B58" s="129"/>
      <c r="C58" s="129"/>
      <c r="D58" s="28"/>
      <c r="E58" s="129"/>
      <c r="F58" s="129"/>
      <c r="G58" s="133"/>
      <c r="H58" s="133"/>
      <c r="I58" s="28"/>
      <c r="J58" s="43" t="s">
        <v>23</v>
      </c>
      <c r="K58" s="28" t="str">
        <f>CONCATENATE("selected (data('",A57,"'), '97')")</f>
        <v>selected (data('q411'), '97')</v>
      </c>
      <c r="L58" s="19"/>
      <c r="M58" s="12"/>
      <c r="N58" s="14"/>
      <c r="O58" s="48"/>
      <c r="P58" s="31"/>
      <c r="Q58" s="28"/>
      <c r="R58" s="28"/>
      <c r="S58" s="31"/>
      <c r="T58" s="31"/>
      <c r="U58" s="31"/>
      <c r="V58" s="28"/>
      <c r="Y58" s="14"/>
      <c r="Z58" s="64"/>
      <c r="AA58" s="19"/>
      <c r="AB58" s="19"/>
      <c r="AC58" s="14"/>
    </row>
    <row r="59" spans="1:29" s="1" customFormat="1" ht="75">
      <c r="A59" s="14" t="str">
        <f>CONCATENATE("q",I59)</f>
        <v>q411_other</v>
      </c>
      <c r="B59" s="129" t="s">
        <v>393</v>
      </c>
      <c r="C59" s="129"/>
      <c r="D59" s="28"/>
      <c r="E59" s="129" t="s">
        <v>1088</v>
      </c>
      <c r="F59" s="129"/>
      <c r="G59" s="133"/>
      <c r="H59" s="133"/>
      <c r="I59" s="28" t="str">
        <f>CONCATENATE(I57,"_other")</f>
        <v>411_other</v>
      </c>
      <c r="J59" s="43"/>
      <c r="K59" s="28"/>
      <c r="L59" s="19" t="s">
        <v>8</v>
      </c>
      <c r="M59" s="12"/>
      <c r="N59" s="14" t="str">
        <f>CONCATENATE("q",I59)</f>
        <v>q411_other</v>
      </c>
      <c r="O59" s="86" t="str">
        <f>CONCATENATE(I59,". ",E59)</f>
        <v>411_other. أخرى</v>
      </c>
      <c r="P59" s="86" t="str">
        <f>CONCATENATE($I59,". ",B59)</f>
        <v xml:space="preserve">411_other. Other: </v>
      </c>
      <c r="Q59" s="28"/>
      <c r="R59" s="28"/>
      <c r="S59" s="86" t="str">
        <f>CONCATENATE(K58, " &amp;&amp; ", '1_0_statistical_identification'!$S$164)</f>
        <v>selected (data('q411'), '97') &amp;&amp; (data('valid_overall') == 1)</v>
      </c>
      <c r="T59" s="86"/>
      <c r="U59" s="86"/>
      <c r="V59" s="28"/>
      <c r="Y59" s="14" t="b">
        <v>1</v>
      </c>
      <c r="Z59" s="64"/>
      <c r="AA59" s="19"/>
      <c r="AB59" s="19"/>
      <c r="AC59" s="14"/>
    </row>
    <row r="60" spans="1:29" s="1" customFormat="1" ht="15">
      <c r="A60" s="14"/>
      <c r="B60" s="129"/>
      <c r="C60" s="129"/>
      <c r="D60" s="28"/>
      <c r="E60" s="129"/>
      <c r="F60" s="129"/>
      <c r="G60" s="133"/>
      <c r="H60" s="134"/>
      <c r="I60" s="28"/>
      <c r="J60" s="43" t="s">
        <v>24</v>
      </c>
      <c r="K60" s="28"/>
      <c r="L60" s="19"/>
      <c r="M60" s="12"/>
      <c r="N60" s="14"/>
      <c r="O60" s="48"/>
      <c r="P60" s="31"/>
      <c r="Q60" s="28"/>
      <c r="R60" s="28"/>
      <c r="S60" s="31"/>
      <c r="T60" s="31"/>
      <c r="U60" s="31"/>
      <c r="V60" s="28"/>
      <c r="Y60" s="14"/>
      <c r="Z60" s="64"/>
      <c r="AA60" s="19"/>
      <c r="AB60" s="19"/>
      <c r="AC60" s="14"/>
    </row>
    <row r="61" spans="1:29" s="1" customFormat="1" ht="15">
      <c r="A61" s="14"/>
      <c r="B61" s="129"/>
      <c r="C61" s="129"/>
      <c r="D61" s="28"/>
      <c r="E61" s="129"/>
      <c r="F61" s="129"/>
      <c r="G61" s="133"/>
      <c r="H61" s="134"/>
      <c r="I61" s="28"/>
      <c r="J61" s="43" t="s">
        <v>21</v>
      </c>
      <c r="K61" s="28"/>
      <c r="L61" s="19"/>
      <c r="M61" s="12"/>
      <c r="N61" s="14"/>
      <c r="O61" s="48"/>
      <c r="P61" s="31"/>
      <c r="Q61" s="28"/>
      <c r="R61" s="28"/>
      <c r="S61" s="31"/>
      <c r="T61" s="31"/>
      <c r="U61" s="31"/>
      <c r="V61" s="28"/>
      <c r="Y61" s="14"/>
      <c r="Z61" s="64"/>
      <c r="AA61" s="19"/>
      <c r="AB61" s="19"/>
      <c r="AC61" s="14"/>
    </row>
    <row r="62" spans="1:29" s="1" customFormat="1" ht="15">
      <c r="A62" s="14"/>
      <c r="B62" s="129"/>
      <c r="C62" s="129"/>
      <c r="D62" s="28"/>
      <c r="E62" s="129"/>
      <c r="F62" s="129"/>
      <c r="G62" s="133"/>
      <c r="H62" s="134"/>
      <c r="I62" s="28"/>
      <c r="J62" s="43" t="s">
        <v>20</v>
      </c>
      <c r="K62" s="28"/>
      <c r="L62" s="19"/>
      <c r="M62" s="12"/>
      <c r="N62" s="14"/>
      <c r="O62" s="48"/>
      <c r="P62" s="31"/>
      <c r="Q62" s="28"/>
      <c r="R62" s="28"/>
      <c r="S62" s="31"/>
      <c r="T62" s="31"/>
      <c r="U62" s="31"/>
      <c r="V62" s="28"/>
      <c r="Y62" s="14"/>
      <c r="Z62" s="64"/>
      <c r="AA62" s="19"/>
      <c r="AB62" s="19"/>
      <c r="AC62" s="14"/>
    </row>
    <row r="63" spans="1:29" s="18" customFormat="1" ht="150">
      <c r="A63" s="18" t="str">
        <f t="shared" si="1"/>
        <v>q412</v>
      </c>
      <c r="B63" s="67" t="s">
        <v>338</v>
      </c>
      <c r="C63" s="67"/>
      <c r="D63" s="127" t="str">
        <f>CONCATENATE(INDEX(choices!D:D,MATCH(M63,choices!A:A,0)),"
",IF(M63=INDEX(choices!A:A,MATCH(M63,choices!A:A,0)+1),INDEX(choices!D:D,MATCH(M63,choices!A:A,0)+1),""),IF(M63=INDEX(choices!A:A,MATCH(M63,choices!A:A,0)+1), "
",""),IF(M63=INDEX(choices!A:A,MATCH(M63,choices!A:A,0)+2),INDEX(choices!D:D,MATCH(M63,choices!A:A,0)+2),""),IF(M63=INDEX(choices!A:A,MATCH(M63,choices!A:A,0)+2), "
",""),IF(M63=INDEX(choices!A:A,MATCH(M63,choices!A:A,0)+3),INDEX(choices!D:D,MATCH(M63,choices!A:A,0)+3),""),IF(M63=INDEX(choices!A:A,MATCH(M63,choices!A:A,0)+3), "
",""),IF(M63=INDEX(choices!A:A,MATCH(M63,choices!A:A,0)+4),INDEX(choices!D:D,MATCH(M63,choices!A:A,0)+4),""),IF(M63=INDEX(choices!A:A,MATCH(M63,choices!A:A,0)+4), "
",""),IF(M63=INDEX(choices!A:A,MATCH(M63,choices!A:A,0)+5),INDEX(choices!D:D,MATCH(M63,choices!A:A,0)+5),""),IF(M63=INDEX(choices!A:A,MATCH(M63,choices!A:A,0)+5), "
",""),IF(M63=INDEX(choices!A:A,MATCH(M63,choices!A:A,0)+6),INDEX(choices!D:D,MATCH(M63,choices!A:A,0)+6),""),IF(M63=INDEX(choices!A:A,MATCH(M63,choices!A:A,0)+6), "
",""),IF(M63=INDEX(choices!A:A,MATCH(M63,choices!A:A,0)+7),INDEX(choices!D:D,MATCH(M63,choices!A:A,0)+7),""),IF(M63=INDEX(choices!A:A,MATCH(M63,choices!A:A,0)+7), "
",""),IF(M63=INDEX(choices!A:A,MATCH(M63,choices!A:A,0)+8),INDEX(choices!D:D,MATCH(M63,choices!A:A,0)+8),""),IF(M63=INDEX(choices!A:A,MATCH(M63,choices!A:A,0)+8), "
",""),IF(M63=INDEX(choices!A:A,MATCH(M63,choices!A:A,0)+9),INDEX(choices!D:D,MATCH(M63,choices!A:A,0)+9),""),IF(M63=INDEX(choices!A:A,MATCH(M63,choices!A:A,0)+9), "
",""),IF(M63=INDEX(choices!A:A,MATCH(M63,choices!A:A,0)+10),INDEX(choices!D:D,MATCH(M63,choices!A:A,0)+10),""),IF(M63=INDEX(choices!A:A,MATCH(M63,choices!A:A,0)+10), "
",""),IF(M63=INDEX(choices!A:A,MATCH(M63,choices!A:A,0)+11),INDEX(choices!D:D,MATCH(M63,choices!A:A,0)+11),""),IF(M63=INDEX(choices!A:A,MATCH(M63,choices!A:A,0)+11), "
",""),IF(M63=INDEX(choices!A:A,MATCH(M63,choices!A:A,0)+12),INDEX(choices!D:D,MATCH(M63,choices!A:A,0)+12),""),IF(M63=INDEX(choices!A:A,MATCH(M63,choices!A:A,0)+12), "
",""),IF(M63=INDEX(choices!A:A,MATCH(M63,choices!A:A,0)+13),INDEX(choices!D:D,MATCH(M63,choices!A:A,0)+13),""),IF(M63=INDEX(choices!A:A,MATCH(M63,choices!A:A,0)+13), "
",""),IF(M63=INDEX(choices!A:A,MATCH(M63,choices!A:A,0)+14),INDEX(choices!D:D,MATCH(M63,choices!A:A,0)+14),""),IF(M63=INDEX(choices!A:A,MATCH(M63,choices!A:A,0)+14), "
",""),IF(M63=INDEX(choices!A:A,MATCH(M63,choices!A:A,0)+15),INDEX(choices!D:D,MATCH(M63,choices!A:A,0)+15),""),IF(M63=INDEX(choices!A:A,MATCH(M63,choices!A:A,0)+15), "
",""),IF(M63=INDEX(choices!A:A,MATCH(M63,choices!A:A,0)+16),INDEX(choices!D:D,MATCH(M63,choices!A:A,0)+16),""),IF(M63=INDEX(choices!A:A,MATCH(M63,choices!A:A,0)+16), "
",""),IF(M63=INDEX(choices!A:A,MATCH(M63,choices!A:A,0)+17),INDEX(choices!D:D,MATCH(M63,choices!A:A,0)+17),""),IF(M63=INDEX(choices!A:A,MATCH(M63,choices!A:A,0)+17), "
",""),IF(M63=INDEX(choices!A:A,MATCH(M63,choices!A:A,0)+18),INDEX(choices!D:D,MATCH(M63,choices!A:A,0)+18),""),IF(M63=INDEX(choices!A:A,MATCH(M63,choices!A:A,0)+18), "
",""),IF(M63=INDEX(choices!A:A,MATCH(M63,choices!A:A,0)+19),INDEX(choices!D:D,MATCH(M63,choices!A:A,0)+19),""),IF(M63=INDEX(choices!A:A,MATCH(M63,choices!A:A,0)+19), "
",""),IF(M63=INDEX(choices!A:A,MATCH(M63,choices!A:A,0)+20),INDEX(choices!D:D,MATCH(M63,choices!A:A,0)+20),""),IF(M63=INDEX(choices!A:A,MATCH(M63,choices!A:A,0)+20), "
",""))</f>
        <v xml:space="preserve">1.Natural Gas
2. Kerosene
3. Electric
4. Solar
5. Charcoal/firewood
6. Gas
97. Other
</v>
      </c>
      <c r="E63" s="310" t="s">
        <v>213</v>
      </c>
      <c r="F63" s="310"/>
      <c r="G63" s="67" t="str">
        <f>CONCATENATE(INDEX(choices!C:C,MATCH(M63,choices!A:A,0)),"
",IF(M63=INDEX(choices!A:A,MATCH(M63,choices!A:A,0)+1),INDEX(choices!C:C,MATCH(M63,choices!A:A,0)+1),""),IF(M63=INDEX(choices!A:A,MATCH(M63,choices!A:A,0)+1), "
",""),IF(M63=INDEX(choices!A:A,MATCH(M63,choices!A:A,0)+2),INDEX(choices!C:C,MATCH(M63,choices!A:A,0)+2),""),IF(M63=INDEX(choices!A:A,MATCH(M63,choices!A:A,0)+2), "
",""),IF(M63=INDEX(choices!A:A,MATCH(M63,choices!A:A,0)+3),INDEX(choices!C:C,MATCH(M63,choices!A:A,0)+3),""),IF(M63=INDEX(choices!A:A,MATCH(M63,choices!A:A,0)+3), "
",""),IF(M63=INDEX(choices!A:A,MATCH(M63,choices!A:A,0)+4),INDEX(choices!C:C,MATCH(M63,choices!A:A,0)+4),""),IF(M63=INDEX(choices!A:A,MATCH(M63,choices!A:A,0)+4), "
",""),IF(M63=INDEX(choices!A:A,MATCH(M63,choices!A:A,0)+5),INDEX(choices!C:C,MATCH(M63,choices!A:A,0)+5),""),IF(M63=INDEX(choices!A:A,MATCH(M63,choices!A:A,0)+5), "
",""),IF(M63=INDEX(choices!A:A,MATCH(M63,choices!A:A,0)+6),INDEX(choices!C:C,MATCH(M63,choices!A:A,0)+6),""),IF(M63=INDEX(choices!A:A,MATCH(M63,choices!A:A,0)+6), "
",""),IF(M63=INDEX(choices!A:A,MATCH(M63,choices!A:A,0)+7),INDEX(choices!C:C,MATCH(M63,choices!A:A,0)+7),""),IF(M63=INDEX(choices!A:A,MATCH(M63,choices!A:A,0)+7), "
",""),IF(M63=INDEX(choices!A:A,MATCH(M63,choices!A:A,0)+8),INDEX(choices!C:C,MATCH(M63,choices!A:A,0)+8),""),IF(M63=INDEX(choices!A:A,MATCH(M63,choices!A:A,0)+8), "
",""),IF(M63=INDEX(choices!A:A,MATCH(M63,choices!A:A,0)+9),INDEX(choices!C:C,MATCH(M63,choices!A:A,0)+9),""),IF(M63=INDEX(choices!A:A,MATCH(M63,choices!A:A,0)+9), "
",""),IF(M63=INDEX(choices!A:A,MATCH(M63,choices!A:A,0)+10),INDEX(choices!C:C,MATCH(M63,choices!A:A,0)+10),""),IF(M63=INDEX(choices!A:A,MATCH(M63,choices!A:A,0)+10), "
",""),IF(M63=INDEX(choices!A:A,MATCH(M63,choices!A:A,0)+11),INDEX(choices!C:C,MATCH(M63,choices!A:A,0)+11),""),IF(M63=INDEX(choices!A:A,MATCH(M63,choices!A:A,0)+11), "
",""),IF(M63=INDEX(choices!A:A,MATCH(M63,choices!A:A,0)+12),INDEX(choices!C:C,MATCH(M63,choices!A:A,0)+12),""),IF(M63=INDEX(choices!A:A,MATCH(M63,choices!A:A,0)+12), "
",""),IF(M63=INDEX(choices!A:A,MATCH(M63,choices!A:A,0)+13),INDEX(choices!C:C,MATCH(M63,choices!A:A,0)+13),""),IF(M63=INDEX(choices!A:A,MATCH(M63,choices!A:A,0)+13), "
",""),IF(M63=INDEX(choices!A:A,MATCH(M63,choices!A:A,0)+14),INDEX(choices!C:C,MATCH(M63,choices!A:A,0)+14),""),IF(M63=INDEX(choices!A:A,MATCH(M63,choices!A:A,0)+14), "
",""),IF(M63=INDEX(choices!A:A,MATCH(M63,choices!A:A,0)+15),INDEX(choices!C:C,MATCH(M63,choices!A:A,0)+15),""),IF(M63=INDEX(choices!A:A,MATCH(M63,choices!A:A,0)+15), "
",""),IF(M63=INDEX(choices!A:A,MATCH(M63,choices!A:A,0)+16),INDEX(choices!C:C,MATCH(M63,choices!A:A,0)+16),""),IF(M63=INDEX(choices!A:A,MATCH(M63,choices!A:A,0)+16), "
",""),IF(M63=INDEX(choices!A:A,MATCH(M63,choices!A:A,0)+17),INDEX(choices!C:C,MATCH(M63,choices!A:A,0)+17),""),IF(M63=INDEX(choices!A:A,MATCH(M63,choices!A:A,0)+17), "
",""),IF(M63=INDEX(choices!A:A,MATCH(M63,choices!A:A,0)+18),INDEX(choices!C:C,MATCH(M63,choices!A:A,0)+18),""),IF(M63=INDEX(choices!A:A,MATCH(M63,choices!A:A,0)+18), "
",""),IF(M63=INDEX(choices!A:A,MATCH(M63,choices!A:A,0)+19),INDEX(choices!C:C,MATCH(M63,choices!A:A,0)+19),""),IF(M63=INDEX(choices!A:A,MATCH(M63,choices!A:A,0)+19), "
",""),IF(M63=INDEX(choices!A:A,MATCH(M63,choices!A:A,0)+20),INDEX(choices!C:C,MATCH(M63,choices!A:A,0)+20),""),IF(M63=INDEX(choices!A:A,MATCH(M63,choices!A:A,0)+20), "
","")," ")</f>
        <v xml:space="preserve">1. غاز طبيعى 
2. الكيروسين
3. الكهرباء
4. الطاقة الشمسية
5. الفحم / الحطب
6. البوتاجاز
97. أخرى
 </v>
      </c>
      <c r="H63" s="67" t="s">
        <v>266</v>
      </c>
      <c r="I63" s="30">
        <f>I57+1</f>
        <v>412</v>
      </c>
      <c r="K63" s="21"/>
      <c r="L63" s="21" t="s">
        <v>18</v>
      </c>
      <c r="M63" s="21" t="s">
        <v>31</v>
      </c>
      <c r="N63" s="21" t="str">
        <f>CONCATENATE("q", I63)</f>
        <v>q412</v>
      </c>
      <c r="O63" s="48" t="str">
        <f>CONCATENATE(I63,". ",E63)</f>
        <v>412. ما هو مصدر الطاقة الرئيسي للطهي؟</v>
      </c>
      <c r="P63" s="127" t="str">
        <f>CONCATENATE(A63, ". ", B63)</f>
        <v>q412. What is the primary energy source for cooking?</v>
      </c>
      <c r="Q63" s="58"/>
      <c r="R63" s="58"/>
      <c r="S63" s="127" t="str">
        <f>'1_0_statistical_identification'!S164</f>
        <v>(data('valid_overall') == 1)</v>
      </c>
      <c r="T63" s="127"/>
      <c r="U63" s="127"/>
      <c r="V63" s="30"/>
      <c r="Y63" s="18" t="b">
        <v>1</v>
      </c>
      <c r="Z63" s="64"/>
      <c r="AC63" s="114"/>
    </row>
    <row r="64" spans="1:29" s="1" customFormat="1" ht="30">
      <c r="A64" s="14"/>
      <c r="B64" s="129"/>
      <c r="C64" s="129"/>
      <c r="D64" s="28"/>
      <c r="E64" s="129"/>
      <c r="F64" s="129"/>
      <c r="G64" s="133"/>
      <c r="H64" s="133"/>
      <c r="I64" s="28"/>
      <c r="J64" s="43" t="s">
        <v>23</v>
      </c>
      <c r="K64" s="28" t="str">
        <f>CONCATENATE("selected (data('",A63,"'), '97')")</f>
        <v>selected (data('q412'), '97')</v>
      </c>
      <c r="L64" s="19"/>
      <c r="M64" s="12"/>
      <c r="N64" s="14"/>
      <c r="O64" s="48"/>
      <c r="P64" s="31"/>
      <c r="Q64" s="28"/>
      <c r="R64" s="28"/>
      <c r="S64" s="31"/>
      <c r="T64" s="31"/>
      <c r="U64" s="31"/>
      <c r="V64" s="28"/>
      <c r="Y64" s="14"/>
      <c r="Z64" s="64"/>
      <c r="AA64" s="19"/>
      <c r="AB64" s="19"/>
      <c r="AC64" s="14"/>
    </row>
    <row r="65" spans="1:29" s="1" customFormat="1" ht="75">
      <c r="A65" s="14" t="str">
        <f>CONCATENATE("q",I65)</f>
        <v>q412_other</v>
      </c>
      <c r="B65" s="129" t="s">
        <v>393</v>
      </c>
      <c r="C65" s="129"/>
      <c r="D65" s="28"/>
      <c r="E65" s="129" t="s">
        <v>1088</v>
      </c>
      <c r="F65" s="129"/>
      <c r="G65" s="133"/>
      <c r="H65" s="133"/>
      <c r="I65" s="28" t="str">
        <f>CONCATENATE(I63,"_other")</f>
        <v>412_other</v>
      </c>
      <c r="J65" s="43"/>
      <c r="K65" s="28"/>
      <c r="L65" s="19" t="s">
        <v>8</v>
      </c>
      <c r="M65" s="12"/>
      <c r="N65" s="14" t="str">
        <f>CONCATENATE("q",I65)</f>
        <v>q412_other</v>
      </c>
      <c r="O65" s="86" t="str">
        <f>CONCATENATE(I65,". ",E65)</f>
        <v>412_other. أخرى</v>
      </c>
      <c r="P65" s="86" t="str">
        <f>CONCATENATE($I65,". ",B65)</f>
        <v xml:space="preserve">412_other. Other: </v>
      </c>
      <c r="Q65" s="28"/>
      <c r="R65" s="28"/>
      <c r="S65" s="86" t="str">
        <f>CONCATENATE(K64, " &amp;&amp; ", '1_0_statistical_identification'!$S$164)</f>
        <v>selected (data('q412'), '97') &amp;&amp; (data('valid_overall') == 1)</v>
      </c>
      <c r="T65" s="86"/>
      <c r="U65" s="86"/>
      <c r="V65" s="28"/>
      <c r="Y65" s="14" t="b">
        <v>1</v>
      </c>
      <c r="Z65" s="64"/>
      <c r="AA65" s="19"/>
      <c r="AB65" s="19"/>
      <c r="AC65" s="14"/>
    </row>
    <row r="66" spans="1:29" s="1" customFormat="1" ht="15">
      <c r="A66" s="14"/>
      <c r="B66" s="129"/>
      <c r="C66" s="129"/>
      <c r="D66" s="28"/>
      <c r="E66" s="129"/>
      <c r="F66" s="129"/>
      <c r="G66" s="133"/>
      <c r="H66" s="134"/>
      <c r="I66" s="28"/>
      <c r="J66" s="43" t="s">
        <v>24</v>
      </c>
      <c r="K66" s="28"/>
      <c r="L66" s="19"/>
      <c r="M66" s="12"/>
      <c r="N66" s="14"/>
      <c r="O66" s="48"/>
      <c r="P66" s="31"/>
      <c r="Q66" s="28"/>
      <c r="R66" s="28"/>
      <c r="S66" s="31"/>
      <c r="T66" s="31"/>
      <c r="U66" s="31"/>
      <c r="V66" s="28"/>
      <c r="Y66" s="14"/>
      <c r="Z66" s="64"/>
      <c r="AA66" s="19"/>
      <c r="AB66" s="19"/>
      <c r="AC66" s="14"/>
    </row>
    <row r="67" spans="1:29" s="1" customFormat="1" ht="15">
      <c r="A67" s="14"/>
      <c r="B67" s="129"/>
      <c r="C67" s="129"/>
      <c r="D67" s="28"/>
      <c r="E67" s="129"/>
      <c r="F67" s="129"/>
      <c r="G67" s="133"/>
      <c r="H67" s="134"/>
      <c r="I67" s="28"/>
      <c r="J67" s="43" t="s">
        <v>21</v>
      </c>
      <c r="K67" s="28"/>
      <c r="L67" s="19"/>
      <c r="M67" s="12"/>
      <c r="N67" s="14"/>
      <c r="O67" s="48"/>
      <c r="P67" s="31"/>
      <c r="Q67" s="28"/>
      <c r="R67" s="28"/>
      <c r="S67" s="31"/>
      <c r="T67" s="31"/>
      <c r="U67" s="31"/>
      <c r="V67" s="28"/>
      <c r="Y67" s="14"/>
      <c r="Z67" s="64"/>
      <c r="AA67" s="19"/>
      <c r="AB67" s="19"/>
      <c r="AC67" s="14"/>
    </row>
    <row r="68" spans="1:29" s="1" customFormat="1" ht="15">
      <c r="A68" s="14"/>
      <c r="B68" s="129"/>
      <c r="C68" s="129"/>
      <c r="D68" s="28"/>
      <c r="E68" s="129"/>
      <c r="F68" s="129"/>
      <c r="G68" s="133"/>
      <c r="H68" s="134"/>
      <c r="I68" s="28"/>
      <c r="J68" s="43" t="s">
        <v>20</v>
      </c>
      <c r="K68" s="28"/>
      <c r="L68" s="19"/>
      <c r="M68" s="12"/>
      <c r="N68" s="14"/>
      <c r="O68" s="48"/>
      <c r="P68" s="31"/>
      <c r="Q68" s="28"/>
      <c r="R68" s="28"/>
      <c r="S68" s="31"/>
      <c r="T68" s="31"/>
      <c r="U68" s="31"/>
      <c r="V68" s="28"/>
      <c r="Y68" s="14"/>
      <c r="Z68" s="64"/>
      <c r="AA68" s="19"/>
      <c r="AB68" s="19"/>
      <c r="AC68" s="14"/>
    </row>
    <row r="69" spans="1:29" s="18" customFormat="1" ht="165">
      <c r="A69" s="18" t="str">
        <f t="shared" si="1"/>
        <v>q413</v>
      </c>
      <c r="B69" s="67" t="s">
        <v>339</v>
      </c>
      <c r="C69" s="67"/>
      <c r="D69" s="127" t="str">
        <f>CONCATENATE(INDEX(choices!D:D,MATCH(M69,choices!A:A,0)),"
",IF(M69=INDEX(choices!A:A,MATCH(M69,choices!A:A,0)+1),INDEX(choices!D:D,MATCH(M69,choices!A:A,0)+1),""),IF(M69=INDEX(choices!A:A,MATCH(M69,choices!A:A,0)+1), "
",""),IF(M69=INDEX(choices!A:A,MATCH(M69,choices!A:A,0)+2),INDEX(choices!D:D,MATCH(M69,choices!A:A,0)+2),""),IF(M69=INDEX(choices!A:A,MATCH(M69,choices!A:A,0)+2), "
",""),IF(M69=INDEX(choices!A:A,MATCH(M69,choices!A:A,0)+3),INDEX(choices!D:D,MATCH(M69,choices!A:A,0)+3),""),IF(M69=INDEX(choices!A:A,MATCH(M69,choices!A:A,0)+3), "
",""),IF(M69=INDEX(choices!A:A,MATCH(M69,choices!A:A,0)+4),INDEX(choices!D:D,MATCH(M69,choices!A:A,0)+4),""),IF(M69=INDEX(choices!A:A,MATCH(M69,choices!A:A,0)+4), "
",""),IF(M69=INDEX(choices!A:A,MATCH(M69,choices!A:A,0)+5),INDEX(choices!D:D,MATCH(M69,choices!A:A,0)+5),""),IF(M69=INDEX(choices!A:A,MATCH(M69,choices!A:A,0)+5), "
",""),IF(M69=INDEX(choices!A:A,MATCH(M69,choices!A:A,0)+6),INDEX(choices!D:D,MATCH(M69,choices!A:A,0)+6),""),IF(M69=INDEX(choices!A:A,MATCH(M69,choices!A:A,0)+6), "
",""),IF(M69=INDEX(choices!A:A,MATCH(M69,choices!A:A,0)+7),INDEX(choices!D:D,MATCH(M69,choices!A:A,0)+7),""),IF(M69=INDEX(choices!A:A,MATCH(M69,choices!A:A,0)+7), "
",""),IF(M69=INDEX(choices!A:A,MATCH(M69,choices!A:A,0)+8),INDEX(choices!D:D,MATCH(M69,choices!A:A,0)+8),""),IF(M69=INDEX(choices!A:A,MATCH(M69,choices!A:A,0)+8), "
",""),IF(M69=INDEX(choices!A:A,MATCH(M69,choices!A:A,0)+9),INDEX(choices!D:D,MATCH(M69,choices!A:A,0)+9),""),IF(M69=INDEX(choices!A:A,MATCH(M69,choices!A:A,0)+9), "
",""),IF(M69=INDEX(choices!A:A,MATCH(M69,choices!A:A,0)+10),INDEX(choices!D:D,MATCH(M69,choices!A:A,0)+10),""),IF(M69=INDEX(choices!A:A,MATCH(M69,choices!A:A,0)+10), "
",""),IF(M69=INDEX(choices!A:A,MATCH(M69,choices!A:A,0)+11),INDEX(choices!D:D,MATCH(M69,choices!A:A,0)+11),""),IF(M69=INDEX(choices!A:A,MATCH(M69,choices!A:A,0)+11), "
",""),IF(M69=INDEX(choices!A:A,MATCH(M69,choices!A:A,0)+12),INDEX(choices!D:D,MATCH(M69,choices!A:A,0)+12),""),IF(M69=INDEX(choices!A:A,MATCH(M69,choices!A:A,0)+12), "
",""),IF(M69=INDEX(choices!A:A,MATCH(M69,choices!A:A,0)+13),INDEX(choices!D:D,MATCH(M69,choices!A:A,0)+13),""),IF(M69=INDEX(choices!A:A,MATCH(M69,choices!A:A,0)+13), "
",""),IF(M69=INDEX(choices!A:A,MATCH(M69,choices!A:A,0)+14),INDEX(choices!D:D,MATCH(M69,choices!A:A,0)+14),""),IF(M69=INDEX(choices!A:A,MATCH(M69,choices!A:A,0)+14), "
",""),IF(M69=INDEX(choices!A:A,MATCH(M69,choices!A:A,0)+15),INDEX(choices!D:D,MATCH(M69,choices!A:A,0)+15),""),IF(M69=INDEX(choices!A:A,MATCH(M69,choices!A:A,0)+15), "
",""),IF(M69=INDEX(choices!A:A,MATCH(M69,choices!A:A,0)+16),INDEX(choices!D:D,MATCH(M69,choices!A:A,0)+16),""),IF(M69=INDEX(choices!A:A,MATCH(M69,choices!A:A,0)+16), "
",""),IF(M69=INDEX(choices!A:A,MATCH(M69,choices!A:A,0)+17),INDEX(choices!D:D,MATCH(M69,choices!A:A,0)+17),""),IF(M69=INDEX(choices!A:A,MATCH(M69,choices!A:A,0)+17), "
",""),IF(M69=INDEX(choices!A:A,MATCH(M69,choices!A:A,0)+18),INDEX(choices!D:D,MATCH(M69,choices!A:A,0)+18),""),IF(M69=INDEX(choices!A:A,MATCH(M69,choices!A:A,0)+18), "
",""),IF(M69=INDEX(choices!A:A,MATCH(M69,choices!A:A,0)+19),INDEX(choices!D:D,MATCH(M69,choices!A:A,0)+19),""),IF(M69=INDEX(choices!A:A,MATCH(M69,choices!A:A,0)+19), "
",""),IF(M69=INDEX(choices!A:A,MATCH(M69,choices!A:A,0)+20),INDEX(choices!D:D,MATCH(M69,choices!A:A,0)+20),""),IF(M69=INDEX(choices!A:A,MATCH(M69,choices!A:A,0)+20), "
",""))</f>
        <v xml:space="preserve">1.Natural Gas
2. Kerosene
3. Electric
4. Solar
5. Charcoal/firewood
6. Gas
7. None found
97. Other
</v>
      </c>
      <c r="E69" s="310" t="s">
        <v>214</v>
      </c>
      <c r="F69" s="310"/>
      <c r="G69" s="67" t="str">
        <f>CONCATENATE(INDEX(choices!C:C,MATCH(M69,choices!A:A,0)),"
",IF(M69=INDEX(choices!A:A,MATCH(M69,choices!A:A,0)+1),INDEX(choices!C:C,MATCH(M69,choices!A:A,0)+1),""),IF(M69=INDEX(choices!A:A,MATCH(M69,choices!A:A,0)+1), "
",""),IF(M69=INDEX(choices!A:A,MATCH(M69,choices!A:A,0)+2),INDEX(choices!C:C,MATCH(M69,choices!A:A,0)+2),""),IF(M69=INDEX(choices!A:A,MATCH(M69,choices!A:A,0)+2), "
",""),IF(M69=INDEX(choices!A:A,MATCH(M69,choices!A:A,0)+3),INDEX(choices!C:C,MATCH(M69,choices!A:A,0)+3),""),IF(M69=INDEX(choices!A:A,MATCH(M69,choices!A:A,0)+3), "
",""),IF(M69=INDEX(choices!A:A,MATCH(M69,choices!A:A,0)+4),INDEX(choices!C:C,MATCH(M69,choices!A:A,0)+4),""),IF(M69=INDEX(choices!A:A,MATCH(M69,choices!A:A,0)+4), "
",""),IF(M69=INDEX(choices!A:A,MATCH(M69,choices!A:A,0)+5),INDEX(choices!C:C,MATCH(M69,choices!A:A,0)+5),""),IF(M69=INDEX(choices!A:A,MATCH(M69,choices!A:A,0)+5), "
",""),IF(M69=INDEX(choices!A:A,MATCH(M69,choices!A:A,0)+6),INDEX(choices!C:C,MATCH(M69,choices!A:A,0)+6),""),IF(M69=INDEX(choices!A:A,MATCH(M69,choices!A:A,0)+6), "
",""),IF(M69=INDEX(choices!A:A,MATCH(M69,choices!A:A,0)+7),INDEX(choices!C:C,MATCH(M69,choices!A:A,0)+7),""),IF(M69=INDEX(choices!A:A,MATCH(M69,choices!A:A,0)+7), "
",""),IF(M69=INDEX(choices!A:A,MATCH(M69,choices!A:A,0)+8),INDEX(choices!C:C,MATCH(M69,choices!A:A,0)+8),""),IF(M69=INDEX(choices!A:A,MATCH(M69,choices!A:A,0)+8), "
",""),IF(M69=INDEX(choices!A:A,MATCH(M69,choices!A:A,0)+9),INDEX(choices!C:C,MATCH(M69,choices!A:A,0)+9),""),IF(M69=INDEX(choices!A:A,MATCH(M69,choices!A:A,0)+9), "
",""),IF(M69=INDEX(choices!A:A,MATCH(M69,choices!A:A,0)+10),INDEX(choices!C:C,MATCH(M69,choices!A:A,0)+10),""),IF(M69=INDEX(choices!A:A,MATCH(M69,choices!A:A,0)+10), "
",""),IF(M69=INDEX(choices!A:A,MATCH(M69,choices!A:A,0)+11),INDEX(choices!C:C,MATCH(M69,choices!A:A,0)+11),""),IF(M69=INDEX(choices!A:A,MATCH(M69,choices!A:A,0)+11), "
",""),IF(M69=INDEX(choices!A:A,MATCH(M69,choices!A:A,0)+12),INDEX(choices!C:C,MATCH(M69,choices!A:A,0)+12),""),IF(M69=INDEX(choices!A:A,MATCH(M69,choices!A:A,0)+12), "
",""),IF(M69=INDEX(choices!A:A,MATCH(M69,choices!A:A,0)+13),INDEX(choices!C:C,MATCH(M69,choices!A:A,0)+13),""),IF(M69=INDEX(choices!A:A,MATCH(M69,choices!A:A,0)+13), "
",""),IF(M69=INDEX(choices!A:A,MATCH(M69,choices!A:A,0)+14),INDEX(choices!C:C,MATCH(M69,choices!A:A,0)+14),""),IF(M69=INDEX(choices!A:A,MATCH(M69,choices!A:A,0)+14), "
",""),IF(M69=INDEX(choices!A:A,MATCH(M69,choices!A:A,0)+15),INDEX(choices!C:C,MATCH(M69,choices!A:A,0)+15),""),IF(M69=INDEX(choices!A:A,MATCH(M69,choices!A:A,0)+15), "
",""),IF(M69=INDEX(choices!A:A,MATCH(M69,choices!A:A,0)+16),INDEX(choices!C:C,MATCH(M69,choices!A:A,0)+16),""),IF(M69=INDEX(choices!A:A,MATCH(M69,choices!A:A,0)+16), "
",""),IF(M69=INDEX(choices!A:A,MATCH(M69,choices!A:A,0)+17),INDEX(choices!C:C,MATCH(M69,choices!A:A,0)+17),""),IF(M69=INDEX(choices!A:A,MATCH(M69,choices!A:A,0)+17), "
",""),IF(M69=INDEX(choices!A:A,MATCH(M69,choices!A:A,0)+18),INDEX(choices!C:C,MATCH(M69,choices!A:A,0)+18),""),IF(M69=INDEX(choices!A:A,MATCH(M69,choices!A:A,0)+18), "
",""),IF(M69=INDEX(choices!A:A,MATCH(M69,choices!A:A,0)+19),INDEX(choices!C:C,MATCH(M69,choices!A:A,0)+19),""),IF(M69=INDEX(choices!A:A,MATCH(M69,choices!A:A,0)+19), "
",""),IF(M69=INDEX(choices!A:A,MATCH(M69,choices!A:A,0)+20),INDEX(choices!C:C,MATCH(M69,choices!A:A,0)+20),""),IF(M69=INDEX(choices!A:A,MATCH(M69,choices!A:A,0)+20), "
","")," ")</f>
        <v xml:space="preserve">1. غاز طبيعى 
2. الكيروسين
3. الكهرباء
4. الطاقة الشمسية
5. الفحم / الحطب
6. البوتاجاز
7. لا يوجد
97. أخرى
 </v>
      </c>
      <c r="H69" s="67" t="s">
        <v>266</v>
      </c>
      <c r="I69" s="30">
        <f>I63+1</f>
        <v>413</v>
      </c>
      <c r="K69" s="21"/>
      <c r="L69" s="21" t="s">
        <v>18</v>
      </c>
      <c r="M69" s="21" t="s">
        <v>39</v>
      </c>
      <c r="N69" s="21" t="str">
        <f>CONCATENATE("q", I69)</f>
        <v>q413</v>
      </c>
      <c r="O69" s="48" t="str">
        <f>CONCATENATE(I69,". ",E69)</f>
        <v>413. ما هو مصدر الطاقة الرئيسي لتدفئة المياه؟</v>
      </c>
      <c r="P69" s="127" t="str">
        <f>CONCATENATE(A69, ". ", B69)</f>
        <v>q413. What is the primary energy source for heating water?</v>
      </c>
      <c r="Q69" s="58"/>
      <c r="R69" s="58"/>
      <c r="S69" s="127" t="str">
        <f>'1_0_statistical_identification'!S164</f>
        <v>(data('valid_overall') == 1)</v>
      </c>
      <c r="T69" s="127"/>
      <c r="U69" s="127"/>
      <c r="V69" s="30"/>
      <c r="Y69" s="18" t="b">
        <v>1</v>
      </c>
      <c r="Z69" s="64"/>
      <c r="AC69" s="114"/>
    </row>
    <row r="70" spans="1:29" s="1" customFormat="1" ht="30">
      <c r="A70" s="14"/>
      <c r="B70" s="129"/>
      <c r="C70" s="129"/>
      <c r="D70" s="28"/>
      <c r="E70" s="129"/>
      <c r="F70" s="129"/>
      <c r="G70" s="133"/>
      <c r="H70" s="133"/>
      <c r="I70" s="28"/>
      <c r="J70" s="43" t="s">
        <v>23</v>
      </c>
      <c r="K70" s="28" t="str">
        <f>CONCATENATE("selected (data('",A69,"'), '97')")</f>
        <v>selected (data('q413'), '97')</v>
      </c>
      <c r="L70" s="19"/>
      <c r="M70" s="12"/>
      <c r="N70" s="14"/>
      <c r="O70" s="48"/>
      <c r="P70" s="31"/>
      <c r="Q70" s="28"/>
      <c r="R70" s="28"/>
      <c r="S70" s="31"/>
      <c r="T70" s="31"/>
      <c r="U70" s="31"/>
      <c r="V70" s="28"/>
      <c r="Y70" s="14"/>
      <c r="Z70" s="64"/>
      <c r="AA70" s="19"/>
      <c r="AB70" s="19"/>
      <c r="AC70" s="14"/>
    </row>
    <row r="71" spans="1:29" s="1" customFormat="1" ht="75">
      <c r="A71" s="14" t="str">
        <f>CONCATENATE("q",I71)</f>
        <v>q413_other</v>
      </c>
      <c r="B71" s="129" t="s">
        <v>393</v>
      </c>
      <c r="C71" s="129"/>
      <c r="D71" s="28"/>
      <c r="E71" s="129" t="s">
        <v>1088</v>
      </c>
      <c r="F71" s="129"/>
      <c r="G71" s="133"/>
      <c r="H71" s="133"/>
      <c r="I71" s="28" t="str">
        <f>CONCATENATE(I69,"_other")</f>
        <v>413_other</v>
      </c>
      <c r="J71" s="43"/>
      <c r="K71" s="28"/>
      <c r="L71" s="19" t="s">
        <v>8</v>
      </c>
      <c r="M71" s="12"/>
      <c r="N71" s="14" t="str">
        <f>CONCATENATE("q",I71)</f>
        <v>q413_other</v>
      </c>
      <c r="O71" s="86" t="str">
        <f>CONCATENATE(I71,". ",E71)</f>
        <v>413_other. أخرى</v>
      </c>
      <c r="P71" s="86" t="str">
        <f>CONCATENATE($I71,". ",B71)</f>
        <v xml:space="preserve">413_other. Other: </v>
      </c>
      <c r="Q71" s="28"/>
      <c r="R71" s="28"/>
      <c r="S71" s="86" t="str">
        <f>CONCATENATE(K70, " &amp;&amp; ", '1_0_statistical_identification'!$S$164)</f>
        <v>selected (data('q413'), '97') &amp;&amp; (data('valid_overall') == 1)</v>
      </c>
      <c r="T71" s="86"/>
      <c r="U71" s="86"/>
      <c r="V71" s="28"/>
      <c r="Y71" s="14" t="b">
        <v>1</v>
      </c>
      <c r="Z71" s="64"/>
      <c r="AA71" s="19"/>
      <c r="AB71" s="19"/>
      <c r="AC71" s="14"/>
    </row>
    <row r="72" spans="1:29" s="1" customFormat="1" ht="15">
      <c r="A72" s="14"/>
      <c r="B72" s="129"/>
      <c r="C72" s="129"/>
      <c r="D72" s="28"/>
      <c r="E72" s="129"/>
      <c r="F72" s="129"/>
      <c r="G72" s="133"/>
      <c r="H72" s="134"/>
      <c r="I72" s="28"/>
      <c r="J72" s="43" t="s">
        <v>24</v>
      </c>
      <c r="K72" s="28"/>
      <c r="L72" s="19"/>
      <c r="M72" s="12"/>
      <c r="N72" s="14"/>
      <c r="O72" s="48"/>
      <c r="P72" s="31"/>
      <c r="Q72" s="28"/>
      <c r="R72" s="28"/>
      <c r="S72" s="31"/>
      <c r="T72" s="31"/>
      <c r="U72" s="31"/>
      <c r="V72" s="28"/>
      <c r="Y72" s="14"/>
      <c r="Z72" s="64"/>
      <c r="AA72" s="19"/>
      <c r="AB72" s="19"/>
      <c r="AC72" s="14"/>
    </row>
    <row r="73" spans="1:29" s="1" customFormat="1" ht="15">
      <c r="A73" s="14"/>
      <c r="B73" s="129"/>
      <c r="C73" s="129"/>
      <c r="D73" s="28"/>
      <c r="E73" s="129"/>
      <c r="F73" s="129"/>
      <c r="G73" s="133"/>
      <c r="H73" s="134"/>
      <c r="I73" s="28"/>
      <c r="J73" s="43" t="s">
        <v>21</v>
      </c>
      <c r="K73" s="28"/>
      <c r="L73" s="19"/>
      <c r="M73" s="12"/>
      <c r="N73" s="14"/>
      <c r="O73" s="48"/>
      <c r="P73" s="31"/>
      <c r="Q73" s="28"/>
      <c r="R73" s="28"/>
      <c r="S73" s="31"/>
      <c r="T73" s="31"/>
      <c r="U73" s="31"/>
      <c r="V73" s="28"/>
      <c r="Y73" s="14"/>
      <c r="Z73" s="64"/>
      <c r="AA73" s="19"/>
      <c r="AB73" s="19"/>
      <c r="AC73" s="14"/>
    </row>
    <row r="74" spans="1:29" s="1" customFormat="1" ht="15">
      <c r="A74" s="14"/>
      <c r="B74" s="129"/>
      <c r="C74" s="129"/>
      <c r="D74" s="28"/>
      <c r="E74" s="129"/>
      <c r="F74" s="129"/>
      <c r="G74" s="133"/>
      <c r="H74" s="134"/>
      <c r="I74" s="28"/>
      <c r="J74" s="43" t="s">
        <v>20</v>
      </c>
      <c r="K74" s="28"/>
      <c r="L74" s="19"/>
      <c r="M74" s="12"/>
      <c r="N74" s="14"/>
      <c r="O74" s="48"/>
      <c r="P74" s="31"/>
      <c r="Q74" s="28"/>
      <c r="R74" s="28"/>
      <c r="S74" s="31"/>
      <c r="T74" s="31"/>
      <c r="U74" s="31"/>
      <c r="V74" s="28"/>
      <c r="Y74" s="14"/>
      <c r="Z74" s="64"/>
      <c r="AA74" s="19"/>
      <c r="AB74" s="19"/>
      <c r="AC74" s="14"/>
    </row>
    <row r="75" spans="1:29" s="18" customFormat="1" ht="180">
      <c r="A75" s="18" t="str">
        <f t="shared" si="1"/>
        <v>q414</v>
      </c>
      <c r="B75" s="67" t="s">
        <v>1197</v>
      </c>
      <c r="C75" s="67"/>
      <c r="D75" s="127" t="str">
        <f>CONCATENATE(INDEX(choices!D:D,MATCH(M75,choices!A:A,0)),"
",IF(M75=INDEX(choices!A:A,MATCH(M75,choices!A:A,0)+1),INDEX(choices!D:D,MATCH(M75,choices!A:A,0)+1),""),IF(M75=INDEX(choices!A:A,MATCH(M75,choices!A:A,0)+1), "
",""),IF(M75=INDEX(choices!A:A,MATCH(M75,choices!A:A,0)+2),INDEX(choices!D:D,MATCH(M75,choices!A:A,0)+2),""),IF(M75=INDEX(choices!A:A,MATCH(M75,choices!A:A,0)+2), "
",""),IF(M75=INDEX(choices!A:A,MATCH(M75,choices!A:A,0)+3),INDEX(choices!D:D,MATCH(M75,choices!A:A,0)+3),""),IF(M75=INDEX(choices!A:A,MATCH(M75,choices!A:A,0)+3), "
",""),IF(M75=INDEX(choices!A:A,MATCH(M75,choices!A:A,0)+4),INDEX(choices!D:D,MATCH(M75,choices!A:A,0)+4),""),IF(M75=INDEX(choices!A:A,MATCH(M75,choices!A:A,0)+4), "
",""),IF(M75=INDEX(choices!A:A,MATCH(M75,choices!A:A,0)+5),INDEX(choices!D:D,MATCH(M75,choices!A:A,0)+5),""),IF(M75=INDEX(choices!A:A,MATCH(M75,choices!A:A,0)+5), "
",""),IF(M75=INDEX(choices!A:A,MATCH(M75,choices!A:A,0)+6),INDEX(choices!D:D,MATCH(M75,choices!A:A,0)+6),""),IF(M75=INDEX(choices!A:A,MATCH(M75,choices!A:A,0)+6), "
",""),IF(M75=INDEX(choices!A:A,MATCH(M75,choices!A:A,0)+7),INDEX(choices!D:D,MATCH(M75,choices!A:A,0)+7),""),IF(M75=INDEX(choices!A:A,MATCH(M75,choices!A:A,0)+7), "
",""),IF(M75=INDEX(choices!A:A,MATCH(M75,choices!A:A,0)+8),INDEX(choices!D:D,MATCH(M75,choices!A:A,0)+8),""),IF(M75=INDEX(choices!A:A,MATCH(M75,choices!A:A,0)+8), "
",""),IF(M75=INDEX(choices!A:A,MATCH(M75,choices!A:A,0)+9),INDEX(choices!D:D,MATCH(M75,choices!A:A,0)+9),""),IF(M75=INDEX(choices!A:A,MATCH(M75,choices!A:A,0)+9), "
",""),IF(M75=INDEX(choices!A:A,MATCH(M75,choices!A:A,0)+10),INDEX(choices!D:D,MATCH(M75,choices!A:A,0)+10),""),IF(M75=INDEX(choices!A:A,MATCH(M75,choices!A:A,0)+10), "
",""),IF(M75=INDEX(choices!A:A,MATCH(M75,choices!A:A,0)+11),INDEX(choices!D:D,MATCH(M75,choices!A:A,0)+11),""),IF(M75=INDEX(choices!A:A,MATCH(M75,choices!A:A,0)+11), "
",""),IF(M75=INDEX(choices!A:A,MATCH(M75,choices!A:A,0)+12),INDEX(choices!D:D,MATCH(M75,choices!A:A,0)+12),""),IF(M75=INDEX(choices!A:A,MATCH(M75,choices!A:A,0)+12), "
",""),IF(M75=INDEX(choices!A:A,MATCH(M75,choices!A:A,0)+13),INDEX(choices!D:D,MATCH(M75,choices!A:A,0)+13),""),IF(M75=INDEX(choices!A:A,MATCH(M75,choices!A:A,0)+13), "
",""),IF(M75=INDEX(choices!A:A,MATCH(M75,choices!A:A,0)+14),INDEX(choices!D:D,MATCH(M75,choices!A:A,0)+14),""),IF(M75=INDEX(choices!A:A,MATCH(M75,choices!A:A,0)+14), "
",""),IF(M75=INDEX(choices!A:A,MATCH(M75,choices!A:A,0)+15),INDEX(choices!D:D,MATCH(M75,choices!A:A,0)+15),""),IF(M75=INDEX(choices!A:A,MATCH(M75,choices!A:A,0)+15), "
",""),IF(M75=INDEX(choices!A:A,MATCH(M75,choices!A:A,0)+16),INDEX(choices!D:D,MATCH(M75,choices!A:A,0)+16),""),IF(M75=INDEX(choices!A:A,MATCH(M75,choices!A:A,0)+16), "
",""),IF(M75=INDEX(choices!A:A,MATCH(M75,choices!A:A,0)+17),INDEX(choices!D:D,MATCH(M75,choices!A:A,0)+17),""),IF(M75=INDEX(choices!A:A,MATCH(M75,choices!A:A,0)+17), "
",""),IF(M75=INDEX(choices!A:A,MATCH(M75,choices!A:A,0)+18),INDEX(choices!D:D,MATCH(M75,choices!A:A,0)+18),""),IF(M75=INDEX(choices!A:A,MATCH(M75,choices!A:A,0)+18), "
",""),IF(M75=INDEX(choices!A:A,MATCH(M75,choices!A:A,0)+19),INDEX(choices!D:D,MATCH(M75,choices!A:A,0)+19),""),IF(M75=INDEX(choices!A:A,MATCH(M75,choices!A:A,0)+19), "
",""),IF(M75=INDEX(choices!A:A,MATCH(M75,choices!A:A,0)+20),INDEX(choices!D:D,MATCH(M75,choices!A:A,0)+20),""),IF(M75=INDEX(choices!A:A,MATCH(M75,choices!A:A,0)+20), "
",""))</f>
        <v xml:space="preserve">1. Central Heating
2. Gas
3. Kerosene
4. Electric
5. Solar
6. Charcoal/firewood
7. None found
97. Other
</v>
      </c>
      <c r="E75" s="310" t="s">
        <v>1098</v>
      </c>
      <c r="F75" s="310"/>
      <c r="G75" s="67" t="str">
        <f>CONCATENATE(INDEX(choices!C:C,MATCH(M75,choices!A:A,0)),"
",IF(M75=INDEX(choices!A:A,MATCH(M75,choices!A:A,0)+1),INDEX(choices!C:C,MATCH(M75,choices!A:A,0)+1),""),IF(M75=INDEX(choices!A:A,MATCH(M75,choices!A:A,0)+1), "
",""),IF(M75=INDEX(choices!A:A,MATCH(M75,choices!A:A,0)+2),INDEX(choices!C:C,MATCH(M75,choices!A:A,0)+2),""),IF(M75=INDEX(choices!A:A,MATCH(M75,choices!A:A,0)+2), "
",""),IF(M75=INDEX(choices!A:A,MATCH(M75,choices!A:A,0)+3),INDEX(choices!C:C,MATCH(M75,choices!A:A,0)+3),""),IF(M75=INDEX(choices!A:A,MATCH(M75,choices!A:A,0)+3), "
",""),IF(M75=INDEX(choices!A:A,MATCH(M75,choices!A:A,0)+4),INDEX(choices!C:C,MATCH(M75,choices!A:A,0)+4),""),IF(M75=INDEX(choices!A:A,MATCH(M75,choices!A:A,0)+4), "
",""),IF(M75=INDEX(choices!A:A,MATCH(M75,choices!A:A,0)+5),INDEX(choices!C:C,MATCH(M75,choices!A:A,0)+5),""),IF(M75=INDEX(choices!A:A,MATCH(M75,choices!A:A,0)+5), "
",""),IF(M75=INDEX(choices!A:A,MATCH(M75,choices!A:A,0)+6),INDEX(choices!C:C,MATCH(M75,choices!A:A,0)+6),""),IF(M75=INDEX(choices!A:A,MATCH(M75,choices!A:A,0)+6), "
",""),IF(M75=INDEX(choices!A:A,MATCH(M75,choices!A:A,0)+7),INDEX(choices!C:C,MATCH(M75,choices!A:A,0)+7),""),IF(M75=INDEX(choices!A:A,MATCH(M75,choices!A:A,0)+7), "
",""),IF(M75=INDEX(choices!A:A,MATCH(M75,choices!A:A,0)+8),INDEX(choices!C:C,MATCH(M75,choices!A:A,0)+8),""),IF(M75=INDEX(choices!A:A,MATCH(M75,choices!A:A,0)+8), "
",""),IF(M75=INDEX(choices!A:A,MATCH(M75,choices!A:A,0)+9),INDEX(choices!C:C,MATCH(M75,choices!A:A,0)+9),""),IF(M75=INDEX(choices!A:A,MATCH(M75,choices!A:A,0)+9), "
",""),IF(M75=INDEX(choices!A:A,MATCH(M75,choices!A:A,0)+10),INDEX(choices!C:C,MATCH(M75,choices!A:A,0)+10),""),IF(M75=INDEX(choices!A:A,MATCH(M75,choices!A:A,0)+10), "
",""),IF(M75=INDEX(choices!A:A,MATCH(M75,choices!A:A,0)+11),INDEX(choices!C:C,MATCH(M75,choices!A:A,0)+11),""),IF(M75=INDEX(choices!A:A,MATCH(M75,choices!A:A,0)+11), "
",""),IF(M75=INDEX(choices!A:A,MATCH(M75,choices!A:A,0)+12),INDEX(choices!C:C,MATCH(M75,choices!A:A,0)+12),""),IF(M75=INDEX(choices!A:A,MATCH(M75,choices!A:A,0)+12), "
",""),IF(M75=INDEX(choices!A:A,MATCH(M75,choices!A:A,0)+13),INDEX(choices!C:C,MATCH(M75,choices!A:A,0)+13),""),IF(M75=INDEX(choices!A:A,MATCH(M75,choices!A:A,0)+13), "
",""),IF(M75=INDEX(choices!A:A,MATCH(M75,choices!A:A,0)+14),INDEX(choices!C:C,MATCH(M75,choices!A:A,0)+14),""),IF(M75=INDEX(choices!A:A,MATCH(M75,choices!A:A,0)+14), "
",""),IF(M75=INDEX(choices!A:A,MATCH(M75,choices!A:A,0)+15),INDEX(choices!C:C,MATCH(M75,choices!A:A,0)+15),""),IF(M75=INDEX(choices!A:A,MATCH(M75,choices!A:A,0)+15), "
",""),IF(M75=INDEX(choices!A:A,MATCH(M75,choices!A:A,0)+16),INDEX(choices!C:C,MATCH(M75,choices!A:A,0)+16),""),IF(M75=INDEX(choices!A:A,MATCH(M75,choices!A:A,0)+16), "
",""),IF(M75=INDEX(choices!A:A,MATCH(M75,choices!A:A,0)+17),INDEX(choices!C:C,MATCH(M75,choices!A:A,0)+17),""),IF(M75=INDEX(choices!A:A,MATCH(M75,choices!A:A,0)+17), "
",""),IF(M75=INDEX(choices!A:A,MATCH(M75,choices!A:A,0)+18),INDEX(choices!C:C,MATCH(M75,choices!A:A,0)+18),""),IF(M75=INDEX(choices!A:A,MATCH(M75,choices!A:A,0)+18), "
",""),IF(M75=INDEX(choices!A:A,MATCH(M75,choices!A:A,0)+19),INDEX(choices!C:C,MATCH(M75,choices!A:A,0)+19),""),IF(M75=INDEX(choices!A:A,MATCH(M75,choices!A:A,0)+19), "
",""),IF(M75=INDEX(choices!A:A,MATCH(M75,choices!A:A,0)+20),INDEX(choices!C:C,MATCH(M75,choices!A:A,0)+20),""),IF(M75=INDEX(choices!A:A,MATCH(M75,choices!A:A,0)+20), "
","")," ")</f>
        <v xml:space="preserve">1. تدفئة مركزية
2. الغاز
3. الكيروسين
4. الكهرباء
5. الطاقة الشمسية
6. الفحم / الحطب
7. لا يوجد 
97. أخرى
 </v>
      </c>
      <c r="H75" s="67" t="s">
        <v>266</v>
      </c>
      <c r="I75" s="30">
        <f>I69+1</f>
        <v>414</v>
      </c>
      <c r="K75" s="21"/>
      <c r="L75" s="21" t="s">
        <v>18</v>
      </c>
      <c r="M75" s="21" t="s">
        <v>38</v>
      </c>
      <c r="N75" s="21" t="str">
        <f>CONCATENATE("q", I75)</f>
        <v>q414</v>
      </c>
      <c r="O75" s="48" t="str">
        <f>CONCATENATE(I75,". ",E75)</f>
        <v xml:space="preserve">414. ما هو مصدر الطاقة الرئيسي لتدفئة مسكنك؟
</v>
      </c>
      <c r="P75" s="127" t="str">
        <f>CONCATENATE(A75, ". ", B75)</f>
        <v>q414. What is the primary energy source for heating your dwelling?</v>
      </c>
      <c r="Q75" s="58"/>
      <c r="R75" s="58"/>
      <c r="S75" s="127" t="str">
        <f>'1_0_statistical_identification'!S164</f>
        <v>(data('valid_overall') == 1)</v>
      </c>
      <c r="T75" s="127"/>
      <c r="U75" s="127"/>
      <c r="V75" s="30"/>
      <c r="Y75" s="18" t="b">
        <v>1</v>
      </c>
      <c r="Z75" s="64"/>
      <c r="AC75" s="114"/>
    </row>
    <row r="76" spans="1:29" s="1" customFormat="1" ht="30">
      <c r="A76" s="14"/>
      <c r="B76" s="129"/>
      <c r="C76" s="129"/>
      <c r="D76" s="28"/>
      <c r="E76" s="129"/>
      <c r="F76" s="129"/>
      <c r="G76" s="133"/>
      <c r="H76" s="133"/>
      <c r="I76" s="28"/>
      <c r="J76" s="43" t="s">
        <v>23</v>
      </c>
      <c r="K76" s="28" t="str">
        <f>CONCATENATE("selected (data('",A75,"'), '97')")</f>
        <v>selected (data('q414'), '97')</v>
      </c>
      <c r="L76" s="19"/>
      <c r="M76" s="12"/>
      <c r="N76" s="14"/>
      <c r="O76" s="48"/>
      <c r="P76" s="31"/>
      <c r="Q76" s="28"/>
      <c r="R76" s="28"/>
      <c r="S76" s="31"/>
      <c r="T76" s="31"/>
      <c r="U76" s="31"/>
      <c r="V76" s="28"/>
      <c r="Y76" s="14"/>
      <c r="Z76" s="64"/>
      <c r="AA76" s="19"/>
      <c r="AB76" s="19"/>
      <c r="AC76" s="14"/>
    </row>
    <row r="77" spans="1:29" s="1" customFormat="1" ht="75">
      <c r="A77" s="14" t="str">
        <f>CONCATENATE("q",I77)</f>
        <v>q414_other</v>
      </c>
      <c r="B77" s="129" t="s">
        <v>393</v>
      </c>
      <c r="C77" s="129"/>
      <c r="D77" s="28"/>
      <c r="E77" s="129" t="s">
        <v>1088</v>
      </c>
      <c r="F77" s="129"/>
      <c r="G77" s="133"/>
      <c r="H77" s="133"/>
      <c r="I77" s="28" t="str">
        <f>CONCATENATE(I75,"_other")</f>
        <v>414_other</v>
      </c>
      <c r="J77" s="43"/>
      <c r="K77" s="28"/>
      <c r="L77" s="19" t="s">
        <v>8</v>
      </c>
      <c r="M77" s="12"/>
      <c r="N77" s="14" t="str">
        <f>CONCATENATE("q",I77)</f>
        <v>q414_other</v>
      </c>
      <c r="O77" s="86" t="str">
        <f>CONCATENATE(I77,". ",E77)</f>
        <v>414_other. أخرى</v>
      </c>
      <c r="P77" s="86" t="str">
        <f>CONCATENATE($I77,". ",B77)</f>
        <v xml:space="preserve">414_other. Other: </v>
      </c>
      <c r="Q77" s="28"/>
      <c r="R77" s="28"/>
      <c r="S77" s="86" t="str">
        <f>CONCATENATE(K76, " &amp;&amp; ", '1_0_statistical_identification'!$S$164)</f>
        <v>selected (data('q414'), '97') &amp;&amp; (data('valid_overall') == 1)</v>
      </c>
      <c r="T77" s="86"/>
      <c r="U77" s="86"/>
      <c r="V77" s="28"/>
      <c r="Y77" s="14" t="b">
        <v>1</v>
      </c>
      <c r="Z77" s="64"/>
      <c r="AA77" s="19"/>
      <c r="AB77" s="19"/>
      <c r="AC77" s="14"/>
    </row>
    <row r="78" spans="1:29" s="1" customFormat="1" ht="15">
      <c r="A78" s="14"/>
      <c r="B78" s="129"/>
      <c r="C78" s="129"/>
      <c r="D78" s="28"/>
      <c r="E78" s="129"/>
      <c r="F78" s="129"/>
      <c r="G78" s="133"/>
      <c r="H78" s="134"/>
      <c r="I78" s="28"/>
      <c r="J78" s="43" t="s">
        <v>24</v>
      </c>
      <c r="K78" s="28"/>
      <c r="L78" s="19"/>
      <c r="M78" s="12"/>
      <c r="N78" s="14"/>
      <c r="O78" s="48"/>
      <c r="P78" s="31"/>
      <c r="Q78" s="28"/>
      <c r="R78" s="28"/>
      <c r="S78" s="31"/>
      <c r="T78" s="31"/>
      <c r="U78" s="31"/>
      <c r="V78" s="28"/>
      <c r="Y78" s="14"/>
      <c r="Z78" s="64"/>
      <c r="AA78" s="19"/>
      <c r="AB78" s="19"/>
      <c r="AC78" s="14"/>
    </row>
    <row r="79" spans="1:29" s="1" customFormat="1" ht="15">
      <c r="A79" s="14"/>
      <c r="B79" s="129"/>
      <c r="C79" s="129"/>
      <c r="D79" s="28"/>
      <c r="E79" s="129"/>
      <c r="F79" s="129"/>
      <c r="G79" s="133"/>
      <c r="H79" s="134"/>
      <c r="I79" s="28"/>
      <c r="J79" s="43" t="s">
        <v>21</v>
      </c>
      <c r="K79" s="28"/>
      <c r="L79" s="19"/>
      <c r="M79" s="12"/>
      <c r="N79" s="14"/>
      <c r="O79" s="48"/>
      <c r="P79" s="31"/>
      <c r="Q79" s="28"/>
      <c r="R79" s="28"/>
      <c r="S79" s="31"/>
      <c r="T79" s="31"/>
      <c r="U79" s="31"/>
      <c r="V79" s="28"/>
      <c r="Y79" s="14"/>
      <c r="Z79" s="64"/>
      <c r="AA79" s="19"/>
      <c r="AB79" s="19"/>
      <c r="AC79" s="14"/>
    </row>
    <row r="80" spans="1:29" s="1" customFormat="1" ht="15">
      <c r="A80" s="14"/>
      <c r="B80" s="129"/>
      <c r="C80" s="129"/>
      <c r="D80" s="28"/>
      <c r="E80" s="129"/>
      <c r="F80" s="129"/>
      <c r="G80" s="133"/>
      <c r="H80" s="134"/>
      <c r="I80" s="28"/>
      <c r="J80" s="43" t="s">
        <v>20</v>
      </c>
      <c r="K80" s="28"/>
      <c r="L80" s="19"/>
      <c r="M80" s="12"/>
      <c r="N80" s="14"/>
      <c r="O80" s="48"/>
      <c r="P80" s="31"/>
      <c r="Q80" s="28"/>
      <c r="R80" s="28"/>
      <c r="S80" s="31"/>
      <c r="T80" s="31"/>
      <c r="U80" s="31"/>
      <c r="V80" s="28"/>
      <c r="Y80" s="14"/>
      <c r="Z80" s="64"/>
      <c r="AA80" s="19"/>
      <c r="AB80" s="19"/>
      <c r="AC80" s="14"/>
    </row>
    <row r="81" spans="1:29" s="18" customFormat="1" ht="330">
      <c r="A81" s="18" t="str">
        <f t="shared" si="1"/>
        <v>q415</v>
      </c>
      <c r="B81" s="67" t="s">
        <v>340</v>
      </c>
      <c r="C81" s="67"/>
      <c r="D81" s="127" t="str">
        <f>CONCATENATE(INDEX(choices!D:D,MATCH(M81,choices!A:A,0)),"
",IF(M81=INDEX(choices!A:A,MATCH(M81,choices!A:A,0)+1),INDEX(choices!D:D,MATCH(M81,choices!A:A,0)+1),""),IF(M81=INDEX(choices!A:A,MATCH(M81,choices!A:A,0)+1), "
",""),IF(M81=INDEX(choices!A:A,MATCH(M81,choices!A:A,0)+2),INDEX(choices!D:D,MATCH(M81,choices!A:A,0)+2),""),IF(M81=INDEX(choices!A:A,MATCH(M81,choices!A:A,0)+2), "
",""),IF(M81=INDEX(choices!A:A,MATCH(M81,choices!A:A,0)+3),INDEX(choices!D:D,MATCH(M81,choices!A:A,0)+3),""),IF(M81=INDEX(choices!A:A,MATCH(M81,choices!A:A,0)+3), "
",""),IF(M81=INDEX(choices!A:A,MATCH(M81,choices!A:A,0)+4),INDEX(choices!D:D,MATCH(M81,choices!A:A,0)+4),""),IF(M81=INDEX(choices!A:A,MATCH(M81,choices!A:A,0)+4), "
",""),IF(M81=INDEX(choices!A:A,MATCH(M81,choices!A:A,0)+5),INDEX(choices!D:D,MATCH(M81,choices!A:A,0)+5),""),IF(M81=INDEX(choices!A:A,MATCH(M81,choices!A:A,0)+5), "
",""),IF(M81=INDEX(choices!A:A,MATCH(M81,choices!A:A,0)+6),INDEX(choices!D:D,MATCH(M81,choices!A:A,0)+6),""),IF(M81=INDEX(choices!A:A,MATCH(M81,choices!A:A,0)+6), "
",""),IF(M81=INDEX(choices!A:A,MATCH(M81,choices!A:A,0)+7),INDEX(choices!D:D,MATCH(M81,choices!A:A,0)+7),""),IF(M81=INDEX(choices!A:A,MATCH(M81,choices!A:A,0)+7), "
",""),IF(M81=INDEX(choices!A:A,MATCH(M81,choices!A:A,0)+8),INDEX(choices!D:D,MATCH(M81,choices!A:A,0)+8),""),IF(M81=INDEX(choices!A:A,MATCH(M81,choices!A:A,0)+8), "
",""),IF(M81=INDEX(choices!A:A,MATCH(M81,choices!A:A,0)+9),INDEX(choices!D:D,MATCH(M81,choices!A:A,0)+9),""),IF(M81=INDEX(choices!A:A,MATCH(M81,choices!A:A,0)+9), "
",""),IF(M81=INDEX(choices!A:A,MATCH(M81,choices!A:A,0)+10),INDEX(choices!D:D,MATCH(M81,choices!A:A,0)+10),""),IF(M81=INDEX(choices!A:A,MATCH(M81,choices!A:A,0)+10), "
",""),IF(M81=INDEX(choices!A:A,MATCH(M81,choices!A:A,0)+11),INDEX(choices!D:D,MATCH(M81,choices!A:A,0)+11),""),IF(M81=INDEX(choices!A:A,MATCH(M81,choices!A:A,0)+11), "
",""),IF(M81=INDEX(choices!A:A,MATCH(M81,choices!A:A,0)+12),INDEX(choices!D:D,MATCH(M81,choices!A:A,0)+12),""),IF(M81=INDEX(choices!A:A,MATCH(M81,choices!A:A,0)+12), "
",""),IF(M81=INDEX(choices!A:A,MATCH(M81,choices!A:A,0)+13),INDEX(choices!D:D,MATCH(M81,choices!A:A,0)+13),""),IF(M81=INDEX(choices!A:A,MATCH(M81,choices!A:A,0)+13), "
",""),IF(M81=INDEX(choices!A:A,MATCH(M81,choices!A:A,0)+14),INDEX(choices!D:D,MATCH(M81,choices!A:A,0)+14),""),IF(M81=INDEX(choices!A:A,MATCH(M81,choices!A:A,0)+14), "
",""),IF(M81=INDEX(choices!A:A,MATCH(M81,choices!A:A,0)+15),INDEX(choices!D:D,MATCH(M81,choices!A:A,0)+15),""),IF(M81=INDEX(choices!A:A,MATCH(M81,choices!A:A,0)+15), "
",""),IF(M81=INDEX(choices!A:A,MATCH(M81,choices!A:A,0)+16),INDEX(choices!D:D,MATCH(M81,choices!A:A,0)+16),""),IF(M81=INDEX(choices!A:A,MATCH(M81,choices!A:A,0)+16), "
",""),IF(M81=INDEX(choices!A:A,MATCH(M81,choices!A:A,0)+17),INDEX(choices!D:D,MATCH(M81,choices!A:A,0)+17),""),IF(M81=INDEX(choices!A:A,MATCH(M81,choices!A:A,0)+17), "
",""),IF(M81=INDEX(choices!A:A,MATCH(M81,choices!A:A,0)+18),INDEX(choices!D:D,MATCH(M81,choices!A:A,0)+18),""),IF(M81=INDEX(choices!A:A,MATCH(M81,choices!A:A,0)+18), "
",""),IF(M81=INDEX(choices!A:A,MATCH(M81,choices!A:A,0)+19),INDEX(choices!D:D,MATCH(M81,choices!A:A,0)+19),""),IF(M81=INDEX(choices!A:A,MATCH(M81,choices!A:A,0)+19), "
",""),IF(M81=INDEX(choices!A:A,MATCH(M81,choices!A:A,0)+20),INDEX(choices!D:D,MATCH(M81,choices!A:A,0)+20),""),IF(M81=INDEX(choices!A:A,MATCH(M81,choices!A:A,0)+20), "
",""))</f>
        <v xml:space="preserve">1. Toilet connected to public network - inside house
2. Toilet connected to tank- inside house
3. Shared  toilet connected to public network - inside building
4. Shared toilet connected to tank - inside building
5. Public toilet
6. No toilet
97. Other
</v>
      </c>
      <c r="E81" s="310" t="s">
        <v>211</v>
      </c>
      <c r="F81" s="310"/>
      <c r="G81" s="67" t="str">
        <f>CONCATENATE(INDEX(choices!C:C,MATCH(M81,choices!A:A,0)),"
",IF(M81=INDEX(choices!A:A,MATCH(M81,choices!A:A,0)+1),INDEX(choices!C:C,MATCH(M81,choices!A:A,0)+1),""),IF(M81=INDEX(choices!A:A,MATCH(M81,choices!A:A,0)+1), "
",""),IF(M81=INDEX(choices!A:A,MATCH(M81,choices!A:A,0)+2),INDEX(choices!C:C,MATCH(M81,choices!A:A,0)+2),""),IF(M81=INDEX(choices!A:A,MATCH(M81,choices!A:A,0)+2), "
",""),IF(M81=INDEX(choices!A:A,MATCH(M81,choices!A:A,0)+3),INDEX(choices!C:C,MATCH(M81,choices!A:A,0)+3),""),IF(M81=INDEX(choices!A:A,MATCH(M81,choices!A:A,0)+3), "
",""),IF(M81=INDEX(choices!A:A,MATCH(M81,choices!A:A,0)+4),INDEX(choices!C:C,MATCH(M81,choices!A:A,0)+4),""),IF(M81=INDEX(choices!A:A,MATCH(M81,choices!A:A,0)+4), "
",""),IF(M81=INDEX(choices!A:A,MATCH(M81,choices!A:A,0)+5),INDEX(choices!C:C,MATCH(M81,choices!A:A,0)+5),""),IF(M81=INDEX(choices!A:A,MATCH(M81,choices!A:A,0)+5), "
",""),IF(M81=INDEX(choices!A:A,MATCH(M81,choices!A:A,0)+6),INDEX(choices!C:C,MATCH(M81,choices!A:A,0)+6),""),IF(M81=INDEX(choices!A:A,MATCH(M81,choices!A:A,0)+6), "
",""),IF(M81=INDEX(choices!A:A,MATCH(M81,choices!A:A,0)+7),INDEX(choices!C:C,MATCH(M81,choices!A:A,0)+7),""),IF(M81=INDEX(choices!A:A,MATCH(M81,choices!A:A,0)+7), "
",""),IF(M81=INDEX(choices!A:A,MATCH(M81,choices!A:A,0)+8),INDEX(choices!C:C,MATCH(M81,choices!A:A,0)+8),""),IF(M81=INDEX(choices!A:A,MATCH(M81,choices!A:A,0)+8), "
",""),IF(M81=INDEX(choices!A:A,MATCH(M81,choices!A:A,0)+9),INDEX(choices!C:C,MATCH(M81,choices!A:A,0)+9),""),IF(M81=INDEX(choices!A:A,MATCH(M81,choices!A:A,0)+9), "
",""),IF(M81=INDEX(choices!A:A,MATCH(M81,choices!A:A,0)+10),INDEX(choices!C:C,MATCH(M81,choices!A:A,0)+10),""),IF(M81=INDEX(choices!A:A,MATCH(M81,choices!A:A,0)+10), "
",""),IF(M81=INDEX(choices!A:A,MATCH(M81,choices!A:A,0)+11),INDEX(choices!C:C,MATCH(M81,choices!A:A,0)+11),""),IF(M81=INDEX(choices!A:A,MATCH(M81,choices!A:A,0)+11), "
",""),IF(M81=INDEX(choices!A:A,MATCH(M81,choices!A:A,0)+12),INDEX(choices!C:C,MATCH(M81,choices!A:A,0)+12),""),IF(M81=INDEX(choices!A:A,MATCH(M81,choices!A:A,0)+12), "
",""),IF(M81=INDEX(choices!A:A,MATCH(M81,choices!A:A,0)+13),INDEX(choices!C:C,MATCH(M81,choices!A:A,0)+13),""),IF(M81=INDEX(choices!A:A,MATCH(M81,choices!A:A,0)+13), "
",""),IF(M81=INDEX(choices!A:A,MATCH(M81,choices!A:A,0)+14),INDEX(choices!C:C,MATCH(M81,choices!A:A,0)+14),""),IF(M81=INDEX(choices!A:A,MATCH(M81,choices!A:A,0)+14), "
",""),IF(M81=INDEX(choices!A:A,MATCH(M81,choices!A:A,0)+15),INDEX(choices!C:C,MATCH(M81,choices!A:A,0)+15),""),IF(M81=INDEX(choices!A:A,MATCH(M81,choices!A:A,0)+15), "
",""),IF(M81=INDEX(choices!A:A,MATCH(M81,choices!A:A,0)+16),INDEX(choices!C:C,MATCH(M81,choices!A:A,0)+16),""),IF(M81=INDEX(choices!A:A,MATCH(M81,choices!A:A,0)+16), "
",""),IF(M81=INDEX(choices!A:A,MATCH(M81,choices!A:A,0)+17),INDEX(choices!C:C,MATCH(M81,choices!A:A,0)+17),""),IF(M81=INDEX(choices!A:A,MATCH(M81,choices!A:A,0)+17), "
",""),IF(M81=INDEX(choices!A:A,MATCH(M81,choices!A:A,0)+18),INDEX(choices!C:C,MATCH(M81,choices!A:A,0)+18),""),IF(M81=INDEX(choices!A:A,MATCH(M81,choices!A:A,0)+18), "
",""),IF(M81=INDEX(choices!A:A,MATCH(M81,choices!A:A,0)+19),INDEX(choices!C:C,MATCH(M81,choices!A:A,0)+19),""),IF(M81=INDEX(choices!A:A,MATCH(M81,choices!A:A,0)+19), "
",""),IF(M81=INDEX(choices!A:A,MATCH(M81,choices!A:A,0)+20),INDEX(choices!C:C,MATCH(M81,choices!A:A,0)+20),""),IF(M81=INDEX(choices!A:A,MATCH(M81,choices!A:A,0)+20), "
","")," ")</f>
        <v xml:space="preserve">1. مرحاض داخل الوحدة السكنية متصل بشبكة مجاري 
2. مرحاض داخل الوحدة السكنية متصل بخزان أرضي -- ترنش 
3. مرحاض مشترك داخل المبني متصل بشبكة مجاري
4. مرحاض مشترك داخل المبني متصل بخزان أرضي -- ترنش 
5. مرحاض عام
6. لايوجد مرحاض
97. أخرى
 </v>
      </c>
      <c r="H81" s="67" t="s">
        <v>266</v>
      </c>
      <c r="I81" s="30">
        <f>I75+1</f>
        <v>415</v>
      </c>
      <c r="K81" s="21"/>
      <c r="L81" s="21" t="s">
        <v>18</v>
      </c>
      <c r="M81" s="21" t="s">
        <v>32</v>
      </c>
      <c r="N81" s="21" t="str">
        <f>CONCATENATE("q", I81)</f>
        <v>q415</v>
      </c>
      <c r="O81" s="48" t="str">
        <f>CONCATENATE(I81,". ",E81)</f>
        <v>415. ما نوع دورة المياه التي تستخدمها الاسرة؟</v>
      </c>
      <c r="P81" s="127" t="str">
        <f>CONCATENATE(A81, ". ", B81)</f>
        <v>q415. What type of sanitation facilities does your family use?</v>
      </c>
      <c r="Q81" s="58"/>
      <c r="R81" s="58"/>
      <c r="S81" s="127" t="str">
        <f>'1_0_statistical_identification'!S164</f>
        <v>(data('valid_overall') == 1)</v>
      </c>
      <c r="T81" s="127"/>
      <c r="U81" s="127"/>
      <c r="V81" s="30"/>
      <c r="Y81" s="18" t="b">
        <v>1</v>
      </c>
      <c r="Z81" s="64"/>
      <c r="AC81" s="114"/>
    </row>
    <row r="82" spans="1:29" s="1" customFormat="1" ht="30">
      <c r="A82" s="14"/>
      <c r="B82" s="129"/>
      <c r="C82" s="129"/>
      <c r="D82" s="28"/>
      <c r="E82" s="129"/>
      <c r="F82" s="129"/>
      <c r="G82" s="133"/>
      <c r="H82" s="133"/>
      <c r="I82" s="28"/>
      <c r="J82" s="43" t="s">
        <v>23</v>
      </c>
      <c r="K82" s="28" t="str">
        <f>CONCATENATE("selected (data('",A81,"'), '97')")</f>
        <v>selected (data('q415'), '97')</v>
      </c>
      <c r="L82" s="19"/>
      <c r="M82" s="12"/>
      <c r="N82" s="14"/>
      <c r="O82" s="48"/>
      <c r="P82" s="31"/>
      <c r="Q82" s="28"/>
      <c r="R82" s="28"/>
      <c r="S82" s="31"/>
      <c r="T82" s="31"/>
      <c r="U82" s="31"/>
      <c r="V82" s="28"/>
      <c r="Y82" s="14"/>
      <c r="Z82" s="64"/>
      <c r="AA82" s="19"/>
      <c r="AB82" s="19"/>
      <c r="AC82" s="14"/>
    </row>
    <row r="83" spans="1:29" s="1" customFormat="1" ht="75">
      <c r="A83" s="14" t="str">
        <f>CONCATENATE("q",I83)</f>
        <v>q415_other</v>
      </c>
      <c r="B83" s="129" t="s">
        <v>393</v>
      </c>
      <c r="C83" s="129"/>
      <c r="D83" s="28"/>
      <c r="E83" s="129" t="s">
        <v>394</v>
      </c>
      <c r="F83" s="129"/>
      <c r="G83" s="133"/>
      <c r="H83" s="133"/>
      <c r="I83" s="28" t="str">
        <f>CONCATENATE(I81,"_other")</f>
        <v>415_other</v>
      </c>
      <c r="J83" s="43"/>
      <c r="K83" s="28"/>
      <c r="L83" s="19" t="s">
        <v>8</v>
      </c>
      <c r="M83" s="12"/>
      <c r="N83" s="14" t="str">
        <f>CONCATENATE("q",I83)</f>
        <v>q415_other</v>
      </c>
      <c r="O83" s="86" t="str">
        <f>CONCATENATE(I83,". ",E83)</f>
        <v>415_other. آخر</v>
      </c>
      <c r="P83" s="86" t="str">
        <f>CONCATENATE($I83,". ",B83)</f>
        <v xml:space="preserve">415_other. Other: </v>
      </c>
      <c r="Q83" s="28"/>
      <c r="R83" s="28"/>
      <c r="S83" s="86" t="str">
        <f>CONCATENATE(K82, " &amp;&amp; ", '1_0_statistical_identification'!$S$164)</f>
        <v>selected (data('q415'), '97') &amp;&amp; (data('valid_overall') == 1)</v>
      </c>
      <c r="T83" s="86"/>
      <c r="U83" s="86"/>
      <c r="V83" s="28"/>
      <c r="Y83" s="14" t="b">
        <v>1</v>
      </c>
      <c r="Z83" s="64"/>
      <c r="AA83" s="19"/>
      <c r="AB83" s="19"/>
      <c r="AC83" s="14"/>
    </row>
    <row r="84" spans="1:29" s="1" customFormat="1" ht="15">
      <c r="A84" s="14"/>
      <c r="B84" s="129"/>
      <c r="C84" s="129"/>
      <c r="D84" s="28"/>
      <c r="E84" s="129"/>
      <c r="F84" s="129"/>
      <c r="G84" s="133"/>
      <c r="H84" s="134"/>
      <c r="I84" s="28"/>
      <c r="J84" s="43" t="s">
        <v>24</v>
      </c>
      <c r="K84" s="28"/>
      <c r="L84" s="19"/>
      <c r="M84" s="12"/>
      <c r="N84" s="14"/>
      <c r="O84" s="48"/>
      <c r="P84" s="31"/>
      <c r="Q84" s="28"/>
      <c r="R84" s="28"/>
      <c r="S84" s="31"/>
      <c r="T84" s="31"/>
      <c r="U84" s="31"/>
      <c r="V84" s="28"/>
      <c r="Y84" s="14"/>
      <c r="Z84" s="64"/>
      <c r="AA84" s="19"/>
      <c r="AB84" s="19"/>
      <c r="AC84" s="14"/>
    </row>
    <row r="85" spans="1:29" s="1" customFormat="1" ht="15">
      <c r="A85" s="14"/>
      <c r="B85" s="129"/>
      <c r="C85" s="129"/>
      <c r="D85" s="28"/>
      <c r="E85" s="129"/>
      <c r="F85" s="129"/>
      <c r="G85" s="133"/>
      <c r="H85" s="134"/>
      <c r="I85" s="28"/>
      <c r="J85" s="43" t="s">
        <v>21</v>
      </c>
      <c r="K85" s="28"/>
      <c r="L85" s="19"/>
      <c r="M85" s="12"/>
      <c r="N85" s="14"/>
      <c r="O85" s="48"/>
      <c r="P85" s="31"/>
      <c r="Q85" s="28"/>
      <c r="R85" s="28"/>
      <c r="S85" s="31"/>
      <c r="T85" s="31"/>
      <c r="U85" s="31"/>
      <c r="V85" s="28"/>
      <c r="Y85" s="14"/>
      <c r="Z85" s="64"/>
      <c r="AA85" s="19"/>
      <c r="AB85" s="19"/>
      <c r="AC85" s="14"/>
    </row>
    <row r="86" spans="1:29" s="1" customFormat="1" ht="15">
      <c r="A86" s="14"/>
      <c r="B86" s="129"/>
      <c r="C86" s="129"/>
      <c r="D86" s="28"/>
      <c r="E86" s="129"/>
      <c r="F86" s="129"/>
      <c r="G86" s="133"/>
      <c r="H86" s="134"/>
      <c r="I86" s="28"/>
      <c r="J86" s="43" t="s">
        <v>20</v>
      </c>
      <c r="K86" s="28"/>
      <c r="L86" s="19"/>
      <c r="M86" s="12"/>
      <c r="N86" s="14"/>
      <c r="O86" s="48"/>
      <c r="P86" s="31"/>
      <c r="Q86" s="28"/>
      <c r="R86" s="28"/>
      <c r="S86" s="31"/>
      <c r="T86" s="31"/>
      <c r="U86" s="31"/>
      <c r="V86" s="28"/>
      <c r="Y86" s="14"/>
      <c r="Z86" s="64"/>
      <c r="AA86" s="19"/>
      <c r="AB86" s="19"/>
      <c r="AC86" s="14"/>
    </row>
    <row r="87" spans="1:29" s="18" customFormat="1" ht="225">
      <c r="A87" s="18" t="str">
        <f t="shared" si="1"/>
        <v>q416</v>
      </c>
      <c r="B87" s="67" t="s">
        <v>341</v>
      </c>
      <c r="C87" s="67"/>
      <c r="D87" s="127" t="str">
        <f>CONCATENATE(INDEX(choices!D:D,MATCH(M87,choices!A:A,0)),"
",IF(M87=INDEX(choices!A:A,MATCH(M87,choices!A:A,0)+1),INDEX(choices!D:D,MATCH(M87,choices!A:A,0)+1),""),IF(M87=INDEX(choices!A:A,MATCH(M87,choices!A:A,0)+1), "
",""),IF(M87=INDEX(choices!A:A,MATCH(M87,choices!A:A,0)+2),INDEX(choices!D:D,MATCH(M87,choices!A:A,0)+2),""),IF(M87=INDEX(choices!A:A,MATCH(M87,choices!A:A,0)+2), "
",""),IF(M87=INDEX(choices!A:A,MATCH(M87,choices!A:A,0)+3),INDEX(choices!D:D,MATCH(M87,choices!A:A,0)+3),""),IF(M87=INDEX(choices!A:A,MATCH(M87,choices!A:A,0)+3), "
",""),IF(M87=INDEX(choices!A:A,MATCH(M87,choices!A:A,0)+4),INDEX(choices!D:D,MATCH(M87,choices!A:A,0)+4),""),IF(M87=INDEX(choices!A:A,MATCH(M87,choices!A:A,0)+4), "
",""),IF(M87=INDEX(choices!A:A,MATCH(M87,choices!A:A,0)+5),INDEX(choices!D:D,MATCH(M87,choices!A:A,0)+5),""),IF(M87=INDEX(choices!A:A,MATCH(M87,choices!A:A,0)+5), "
",""),IF(M87=INDEX(choices!A:A,MATCH(M87,choices!A:A,0)+6),INDEX(choices!D:D,MATCH(M87,choices!A:A,0)+6),""),IF(M87=INDEX(choices!A:A,MATCH(M87,choices!A:A,0)+6), "
",""),IF(M87=INDEX(choices!A:A,MATCH(M87,choices!A:A,0)+7),INDEX(choices!D:D,MATCH(M87,choices!A:A,0)+7),""),IF(M87=INDEX(choices!A:A,MATCH(M87,choices!A:A,0)+7), "
",""),IF(M87=INDEX(choices!A:A,MATCH(M87,choices!A:A,0)+8),INDEX(choices!D:D,MATCH(M87,choices!A:A,0)+8),""),IF(M87=INDEX(choices!A:A,MATCH(M87,choices!A:A,0)+8), "
",""),IF(M87=INDEX(choices!A:A,MATCH(M87,choices!A:A,0)+9),INDEX(choices!D:D,MATCH(M87,choices!A:A,0)+9),""),IF(M87=INDEX(choices!A:A,MATCH(M87,choices!A:A,0)+9), "
",""),IF(M87=INDEX(choices!A:A,MATCH(M87,choices!A:A,0)+10),INDEX(choices!D:D,MATCH(M87,choices!A:A,0)+10),""),IF(M87=INDEX(choices!A:A,MATCH(M87,choices!A:A,0)+10), "
",""),IF(M87=INDEX(choices!A:A,MATCH(M87,choices!A:A,0)+11),INDEX(choices!D:D,MATCH(M87,choices!A:A,0)+11),""),IF(M87=INDEX(choices!A:A,MATCH(M87,choices!A:A,0)+11), "
",""),IF(M87=INDEX(choices!A:A,MATCH(M87,choices!A:A,0)+12),INDEX(choices!D:D,MATCH(M87,choices!A:A,0)+12),""),IF(M87=INDEX(choices!A:A,MATCH(M87,choices!A:A,0)+12), "
",""),IF(M87=INDEX(choices!A:A,MATCH(M87,choices!A:A,0)+13),INDEX(choices!D:D,MATCH(M87,choices!A:A,0)+13),""),IF(M87=INDEX(choices!A:A,MATCH(M87,choices!A:A,0)+13), "
",""),IF(M87=INDEX(choices!A:A,MATCH(M87,choices!A:A,0)+14),INDEX(choices!D:D,MATCH(M87,choices!A:A,0)+14),""),IF(M87=INDEX(choices!A:A,MATCH(M87,choices!A:A,0)+14), "
",""),IF(M87=INDEX(choices!A:A,MATCH(M87,choices!A:A,0)+15),INDEX(choices!D:D,MATCH(M87,choices!A:A,0)+15),""),IF(M87=INDEX(choices!A:A,MATCH(M87,choices!A:A,0)+15), "
",""),IF(M87=INDEX(choices!A:A,MATCH(M87,choices!A:A,0)+16),INDEX(choices!D:D,MATCH(M87,choices!A:A,0)+16),""),IF(M87=INDEX(choices!A:A,MATCH(M87,choices!A:A,0)+16), "
",""),IF(M87=INDEX(choices!A:A,MATCH(M87,choices!A:A,0)+17),INDEX(choices!D:D,MATCH(M87,choices!A:A,0)+17),""),IF(M87=INDEX(choices!A:A,MATCH(M87,choices!A:A,0)+17), "
",""),IF(M87=INDEX(choices!A:A,MATCH(M87,choices!A:A,0)+18),INDEX(choices!D:D,MATCH(M87,choices!A:A,0)+18),""),IF(M87=INDEX(choices!A:A,MATCH(M87,choices!A:A,0)+18), "
",""),IF(M87=INDEX(choices!A:A,MATCH(M87,choices!A:A,0)+19),INDEX(choices!D:D,MATCH(M87,choices!A:A,0)+19),""),IF(M87=INDEX(choices!A:A,MATCH(M87,choices!A:A,0)+19), "
",""),IF(M87=INDEX(choices!A:A,MATCH(M87,choices!A:A,0)+20),INDEX(choices!D:D,MATCH(M87,choices!A:A,0)+20),""),IF(M87=INDEX(choices!A:A,MATCH(M87,choices!A:A,0)+20), "
",""))</f>
        <v xml:space="preserve">1. Public sewage system
2. Private sewage system
3. Tank
4. Pipe connected to a stream
5. Hole/ground absorbency
6. N/A or none found
97. Other
98. Don't know
</v>
      </c>
      <c r="E87" s="310" t="s">
        <v>1099</v>
      </c>
      <c r="F87" s="310"/>
      <c r="G87" s="67" t="str">
        <f>CONCATENATE(INDEX(choices!C:C,MATCH(M87,choices!A:A,0)),"
",IF(M87=INDEX(choices!A:A,MATCH(M87,choices!A:A,0)+1),INDEX(choices!C:C,MATCH(M87,choices!A:A,0)+1),""),IF(M87=INDEX(choices!A:A,MATCH(M87,choices!A:A,0)+1), "
",""),IF(M87=INDEX(choices!A:A,MATCH(M87,choices!A:A,0)+2),INDEX(choices!C:C,MATCH(M87,choices!A:A,0)+2),""),IF(M87=INDEX(choices!A:A,MATCH(M87,choices!A:A,0)+2), "
",""),IF(M87=INDEX(choices!A:A,MATCH(M87,choices!A:A,0)+3),INDEX(choices!C:C,MATCH(M87,choices!A:A,0)+3),""),IF(M87=INDEX(choices!A:A,MATCH(M87,choices!A:A,0)+3), "
",""),IF(M87=INDEX(choices!A:A,MATCH(M87,choices!A:A,0)+4),INDEX(choices!C:C,MATCH(M87,choices!A:A,0)+4),""),IF(M87=INDEX(choices!A:A,MATCH(M87,choices!A:A,0)+4), "
",""),IF(M87=INDEX(choices!A:A,MATCH(M87,choices!A:A,0)+5),INDEX(choices!C:C,MATCH(M87,choices!A:A,0)+5),""),IF(M87=INDEX(choices!A:A,MATCH(M87,choices!A:A,0)+5), "
",""),IF(M87=INDEX(choices!A:A,MATCH(M87,choices!A:A,0)+6),INDEX(choices!C:C,MATCH(M87,choices!A:A,0)+6),""),IF(M87=INDEX(choices!A:A,MATCH(M87,choices!A:A,0)+6), "
",""),IF(M87=INDEX(choices!A:A,MATCH(M87,choices!A:A,0)+7),INDEX(choices!C:C,MATCH(M87,choices!A:A,0)+7),""),IF(M87=INDEX(choices!A:A,MATCH(M87,choices!A:A,0)+7), "
",""),IF(M87=INDEX(choices!A:A,MATCH(M87,choices!A:A,0)+8),INDEX(choices!C:C,MATCH(M87,choices!A:A,0)+8),""),IF(M87=INDEX(choices!A:A,MATCH(M87,choices!A:A,0)+8), "
",""),IF(M87=INDEX(choices!A:A,MATCH(M87,choices!A:A,0)+9),INDEX(choices!C:C,MATCH(M87,choices!A:A,0)+9),""),IF(M87=INDEX(choices!A:A,MATCH(M87,choices!A:A,0)+9), "
",""),IF(M87=INDEX(choices!A:A,MATCH(M87,choices!A:A,0)+10),INDEX(choices!C:C,MATCH(M87,choices!A:A,0)+10),""),IF(M87=INDEX(choices!A:A,MATCH(M87,choices!A:A,0)+10), "
",""),IF(M87=INDEX(choices!A:A,MATCH(M87,choices!A:A,0)+11),INDEX(choices!C:C,MATCH(M87,choices!A:A,0)+11),""),IF(M87=INDEX(choices!A:A,MATCH(M87,choices!A:A,0)+11), "
",""),IF(M87=INDEX(choices!A:A,MATCH(M87,choices!A:A,0)+12),INDEX(choices!C:C,MATCH(M87,choices!A:A,0)+12),""),IF(M87=INDEX(choices!A:A,MATCH(M87,choices!A:A,0)+12), "
",""),IF(M87=INDEX(choices!A:A,MATCH(M87,choices!A:A,0)+13),INDEX(choices!C:C,MATCH(M87,choices!A:A,0)+13),""),IF(M87=INDEX(choices!A:A,MATCH(M87,choices!A:A,0)+13), "
",""),IF(M87=INDEX(choices!A:A,MATCH(M87,choices!A:A,0)+14),INDEX(choices!C:C,MATCH(M87,choices!A:A,0)+14),""),IF(M87=INDEX(choices!A:A,MATCH(M87,choices!A:A,0)+14), "
",""),IF(M87=INDEX(choices!A:A,MATCH(M87,choices!A:A,0)+15),INDEX(choices!C:C,MATCH(M87,choices!A:A,0)+15),""),IF(M87=INDEX(choices!A:A,MATCH(M87,choices!A:A,0)+15), "
",""),IF(M87=INDEX(choices!A:A,MATCH(M87,choices!A:A,0)+16),INDEX(choices!C:C,MATCH(M87,choices!A:A,0)+16),""),IF(M87=INDEX(choices!A:A,MATCH(M87,choices!A:A,0)+16), "
",""),IF(M87=INDEX(choices!A:A,MATCH(M87,choices!A:A,0)+17),INDEX(choices!C:C,MATCH(M87,choices!A:A,0)+17),""),IF(M87=INDEX(choices!A:A,MATCH(M87,choices!A:A,0)+17), "
",""),IF(M87=INDEX(choices!A:A,MATCH(M87,choices!A:A,0)+18),INDEX(choices!C:C,MATCH(M87,choices!A:A,0)+18),""),IF(M87=INDEX(choices!A:A,MATCH(M87,choices!A:A,0)+18), "
",""),IF(M87=INDEX(choices!A:A,MATCH(M87,choices!A:A,0)+19),INDEX(choices!C:C,MATCH(M87,choices!A:A,0)+19),""),IF(M87=INDEX(choices!A:A,MATCH(M87,choices!A:A,0)+19), "
",""),IF(M87=INDEX(choices!A:A,MATCH(M87,choices!A:A,0)+20),INDEX(choices!C:C,MATCH(M87,choices!A:A,0)+20),""),IF(M87=INDEX(choices!A:A,MATCH(M87,choices!A:A,0)+20), "
","")," ")</f>
        <v xml:space="preserve">1. شبكة عامة
2. شبكة أهلية
3. ترنش
4. ماسورة متصلة بمصرف/ترعة
5. حفرة/أرض امتصاصية/بيارة
6. لايوجد/لاينطبق
97. أخرى
98. لا أعرف
 </v>
      </c>
      <c r="H87" s="67" t="s">
        <v>266</v>
      </c>
      <c r="I87" s="30">
        <f>I81+1</f>
        <v>416</v>
      </c>
      <c r="K87" s="21"/>
      <c r="L87" s="21" t="s">
        <v>18</v>
      </c>
      <c r="M87" s="21" t="s">
        <v>33</v>
      </c>
      <c r="N87" s="21" t="str">
        <f>CONCATENATE("q", I87)</f>
        <v>q416</v>
      </c>
      <c r="O87" s="48" t="str">
        <f>CONCATENATE(I87,". ",E87)</f>
        <v xml:space="preserve">416. ما هو نظام الصرف الصحي بالمسكن؟
</v>
      </c>
      <c r="P87" s="127" t="str">
        <f>CONCATENATE(A87, ". ", B87)</f>
        <v>q416. What is your sewage system?</v>
      </c>
      <c r="Q87" s="58"/>
      <c r="R87" s="58"/>
      <c r="S87" s="127" t="str">
        <f>'1_0_statistical_identification'!S164</f>
        <v>(data('valid_overall') == 1)</v>
      </c>
      <c r="T87" s="127"/>
      <c r="U87" s="127"/>
      <c r="V87" s="30"/>
      <c r="Y87" s="18" t="b">
        <v>1</v>
      </c>
      <c r="Z87" s="64"/>
      <c r="AC87" s="114"/>
    </row>
    <row r="88" spans="1:29" s="1" customFormat="1" ht="30">
      <c r="A88" s="14"/>
      <c r="B88" s="129"/>
      <c r="C88" s="129"/>
      <c r="D88" s="28"/>
      <c r="E88" s="129"/>
      <c r="F88" s="129"/>
      <c r="G88" s="133"/>
      <c r="H88" s="133"/>
      <c r="I88" s="28"/>
      <c r="J88" s="43" t="s">
        <v>23</v>
      </c>
      <c r="K88" s="28" t="str">
        <f>CONCATENATE("selected (data('",A87,"'), '97')")</f>
        <v>selected (data('q416'), '97')</v>
      </c>
      <c r="L88" s="19"/>
      <c r="M88" s="12"/>
      <c r="N88" s="14"/>
      <c r="O88" s="48"/>
      <c r="P88" s="31"/>
      <c r="Q88" s="28"/>
      <c r="R88" s="28"/>
      <c r="S88" s="31"/>
      <c r="T88" s="31"/>
      <c r="U88" s="31"/>
      <c r="V88" s="28"/>
      <c r="Y88" s="14"/>
      <c r="Z88" s="64"/>
      <c r="AA88" s="19"/>
      <c r="AB88" s="19"/>
      <c r="AC88" s="14"/>
    </row>
    <row r="89" spans="1:29" s="1" customFormat="1" ht="75">
      <c r="A89" s="14" t="str">
        <f>CONCATENATE("q",I89)</f>
        <v>q416_other</v>
      </c>
      <c r="B89" s="129" t="s">
        <v>393</v>
      </c>
      <c r="C89" s="129"/>
      <c r="D89" s="28"/>
      <c r="E89" s="129" t="s">
        <v>1088</v>
      </c>
      <c r="F89" s="129"/>
      <c r="G89" s="133"/>
      <c r="H89" s="133"/>
      <c r="I89" s="28" t="str">
        <f>CONCATENATE(I87,"_other")</f>
        <v>416_other</v>
      </c>
      <c r="J89" s="43"/>
      <c r="K89" s="28"/>
      <c r="L89" s="19" t="s">
        <v>8</v>
      </c>
      <c r="M89" s="12"/>
      <c r="N89" s="14" t="str">
        <f>CONCATENATE("q",I89)</f>
        <v>q416_other</v>
      </c>
      <c r="O89" s="86" t="str">
        <f>CONCATENATE(I89,". ",E89)</f>
        <v>416_other. أخرى</v>
      </c>
      <c r="P89" s="86" t="str">
        <f>CONCATENATE($I89,". ",B89)</f>
        <v xml:space="preserve">416_other. Other: </v>
      </c>
      <c r="Q89" s="28"/>
      <c r="R89" s="28"/>
      <c r="S89" s="86" t="str">
        <f>CONCATENATE(K88, " &amp;&amp; ", '1_0_statistical_identification'!$S$164)</f>
        <v>selected (data('q416'), '97') &amp;&amp; (data('valid_overall') == 1)</v>
      </c>
      <c r="T89" s="86"/>
      <c r="U89" s="86"/>
      <c r="V89" s="28"/>
      <c r="Y89" s="14" t="b">
        <v>1</v>
      </c>
      <c r="Z89" s="64"/>
      <c r="AA89" s="19"/>
      <c r="AB89" s="19"/>
      <c r="AC89" s="14"/>
    </row>
    <row r="90" spans="1:29" s="1" customFormat="1" ht="15">
      <c r="A90" s="14"/>
      <c r="B90" s="129"/>
      <c r="C90" s="129"/>
      <c r="D90" s="28"/>
      <c r="E90" s="129"/>
      <c r="F90" s="129"/>
      <c r="G90" s="133"/>
      <c r="H90" s="134"/>
      <c r="I90" s="28"/>
      <c r="J90" s="43" t="s">
        <v>24</v>
      </c>
      <c r="K90" s="28"/>
      <c r="L90" s="19"/>
      <c r="M90" s="12"/>
      <c r="N90" s="14"/>
      <c r="O90" s="48"/>
      <c r="P90" s="31"/>
      <c r="Q90" s="28"/>
      <c r="R90" s="28"/>
      <c r="S90" s="31"/>
      <c r="T90" s="31"/>
      <c r="U90" s="31"/>
      <c r="V90" s="28"/>
      <c r="Y90" s="14"/>
      <c r="Z90" s="64"/>
      <c r="AA90" s="19"/>
      <c r="AB90" s="19"/>
      <c r="AC90" s="14"/>
    </row>
    <row r="91" spans="1:29" s="1" customFormat="1" ht="15">
      <c r="A91" s="14"/>
      <c r="B91" s="129"/>
      <c r="C91" s="129"/>
      <c r="D91" s="28"/>
      <c r="E91" s="129"/>
      <c r="F91" s="129"/>
      <c r="G91" s="133"/>
      <c r="H91" s="134"/>
      <c r="I91" s="28"/>
      <c r="J91" s="43" t="s">
        <v>21</v>
      </c>
      <c r="K91" s="28"/>
      <c r="L91" s="19"/>
      <c r="M91" s="12"/>
      <c r="N91" s="14"/>
      <c r="O91" s="48"/>
      <c r="P91" s="31"/>
      <c r="Q91" s="28"/>
      <c r="R91" s="28"/>
      <c r="S91" s="31"/>
      <c r="T91" s="31"/>
      <c r="U91" s="31"/>
      <c r="V91" s="28"/>
      <c r="Y91" s="14"/>
      <c r="Z91" s="64"/>
      <c r="AA91" s="19"/>
      <c r="AB91" s="19"/>
      <c r="AC91" s="14"/>
    </row>
    <row r="92" spans="1:29" s="1" customFormat="1" ht="15">
      <c r="A92" s="14"/>
      <c r="B92" s="129"/>
      <c r="C92" s="129"/>
      <c r="D92" s="28"/>
      <c r="E92" s="129"/>
      <c r="F92" s="129"/>
      <c r="G92" s="133"/>
      <c r="H92" s="134"/>
      <c r="I92" s="28"/>
      <c r="J92" s="43" t="s">
        <v>20</v>
      </c>
      <c r="K92" s="28"/>
      <c r="L92" s="19"/>
      <c r="M92" s="12"/>
      <c r="N92" s="14"/>
      <c r="O92" s="48"/>
      <c r="P92" s="31"/>
      <c r="Q92" s="28"/>
      <c r="R92" s="28"/>
      <c r="S92" s="31"/>
      <c r="T92" s="31"/>
      <c r="U92" s="31"/>
      <c r="V92" s="28"/>
      <c r="Y92" s="14"/>
      <c r="Z92" s="64"/>
      <c r="AA92" s="19"/>
      <c r="AB92" s="19"/>
      <c r="AC92" s="14"/>
    </row>
    <row r="93" spans="1:29" s="18" customFormat="1" ht="180">
      <c r="A93" s="18" t="str">
        <f t="shared" si="1"/>
        <v>q417</v>
      </c>
      <c r="B93" s="67" t="s">
        <v>342</v>
      </c>
      <c r="C93" s="67"/>
      <c r="D93" s="127" t="str">
        <f>CONCATENATE(INDEX(choices!D:D,MATCH(M93,choices!A:A,0)),"
",IF(M93=INDEX(choices!A:A,MATCH(M93,choices!A:A,0)+1),INDEX(choices!D:D,MATCH(M93,choices!A:A,0)+1),""),IF(M93=INDEX(choices!A:A,MATCH(M93,choices!A:A,0)+1), "
",""),IF(M93=INDEX(choices!A:A,MATCH(M93,choices!A:A,0)+2),INDEX(choices!D:D,MATCH(M93,choices!A:A,0)+2),""),IF(M93=INDEX(choices!A:A,MATCH(M93,choices!A:A,0)+2), "
",""),IF(M93=INDEX(choices!A:A,MATCH(M93,choices!A:A,0)+3),INDEX(choices!D:D,MATCH(M93,choices!A:A,0)+3),""),IF(M93=INDEX(choices!A:A,MATCH(M93,choices!A:A,0)+3), "
",""),IF(M93=INDEX(choices!A:A,MATCH(M93,choices!A:A,0)+4),INDEX(choices!D:D,MATCH(M93,choices!A:A,0)+4),""),IF(M93=INDEX(choices!A:A,MATCH(M93,choices!A:A,0)+4), "
",""),IF(M93=INDEX(choices!A:A,MATCH(M93,choices!A:A,0)+5),INDEX(choices!D:D,MATCH(M93,choices!A:A,0)+5),""),IF(M93=INDEX(choices!A:A,MATCH(M93,choices!A:A,0)+5), "
",""),IF(M93=INDEX(choices!A:A,MATCH(M93,choices!A:A,0)+6),INDEX(choices!D:D,MATCH(M93,choices!A:A,0)+6),""),IF(M93=INDEX(choices!A:A,MATCH(M93,choices!A:A,0)+6), "
",""),IF(M93=INDEX(choices!A:A,MATCH(M93,choices!A:A,0)+7),INDEX(choices!D:D,MATCH(M93,choices!A:A,0)+7),""),IF(M93=INDEX(choices!A:A,MATCH(M93,choices!A:A,0)+7), "
",""),IF(M93=INDEX(choices!A:A,MATCH(M93,choices!A:A,0)+8),INDEX(choices!D:D,MATCH(M93,choices!A:A,0)+8),""),IF(M93=INDEX(choices!A:A,MATCH(M93,choices!A:A,0)+8), "
",""),IF(M93=INDEX(choices!A:A,MATCH(M93,choices!A:A,0)+9),INDEX(choices!D:D,MATCH(M93,choices!A:A,0)+9),""),IF(M93=INDEX(choices!A:A,MATCH(M93,choices!A:A,0)+9), "
",""),IF(M93=INDEX(choices!A:A,MATCH(M93,choices!A:A,0)+10),INDEX(choices!D:D,MATCH(M93,choices!A:A,0)+10),""),IF(M93=INDEX(choices!A:A,MATCH(M93,choices!A:A,0)+10), "
",""),IF(M93=INDEX(choices!A:A,MATCH(M93,choices!A:A,0)+11),INDEX(choices!D:D,MATCH(M93,choices!A:A,0)+11),""),IF(M93=INDEX(choices!A:A,MATCH(M93,choices!A:A,0)+11), "
",""),IF(M93=INDEX(choices!A:A,MATCH(M93,choices!A:A,0)+12),INDEX(choices!D:D,MATCH(M93,choices!A:A,0)+12),""),IF(M93=INDEX(choices!A:A,MATCH(M93,choices!A:A,0)+12), "
",""),IF(M93=INDEX(choices!A:A,MATCH(M93,choices!A:A,0)+13),INDEX(choices!D:D,MATCH(M93,choices!A:A,0)+13),""),IF(M93=INDEX(choices!A:A,MATCH(M93,choices!A:A,0)+13), "
",""),IF(M93=INDEX(choices!A:A,MATCH(M93,choices!A:A,0)+14),INDEX(choices!D:D,MATCH(M93,choices!A:A,0)+14),""),IF(M93=INDEX(choices!A:A,MATCH(M93,choices!A:A,0)+14), "
",""),IF(M93=INDEX(choices!A:A,MATCH(M93,choices!A:A,0)+15),INDEX(choices!D:D,MATCH(M93,choices!A:A,0)+15),""),IF(M93=INDEX(choices!A:A,MATCH(M93,choices!A:A,0)+15), "
",""),IF(M93=INDEX(choices!A:A,MATCH(M93,choices!A:A,0)+16),INDEX(choices!D:D,MATCH(M93,choices!A:A,0)+16),""),IF(M93=INDEX(choices!A:A,MATCH(M93,choices!A:A,0)+16), "
",""),IF(M93=INDEX(choices!A:A,MATCH(M93,choices!A:A,0)+17),INDEX(choices!D:D,MATCH(M93,choices!A:A,0)+17),""),IF(M93=INDEX(choices!A:A,MATCH(M93,choices!A:A,0)+17), "
",""),IF(M93=INDEX(choices!A:A,MATCH(M93,choices!A:A,0)+18),INDEX(choices!D:D,MATCH(M93,choices!A:A,0)+18),""),IF(M93=INDEX(choices!A:A,MATCH(M93,choices!A:A,0)+18), "
",""),IF(M93=INDEX(choices!A:A,MATCH(M93,choices!A:A,0)+19),INDEX(choices!D:D,MATCH(M93,choices!A:A,0)+19),""),IF(M93=INDEX(choices!A:A,MATCH(M93,choices!A:A,0)+19), "
",""),IF(M93=INDEX(choices!A:A,MATCH(M93,choices!A:A,0)+20),INDEX(choices!D:D,MATCH(M93,choices!A:A,0)+20),""),IF(M93=INDEX(choices!A:A,MATCH(M93,choices!A:A,0)+20), "
",""))</f>
        <v xml:space="preserve">1. Public refuse collector
2. Private refuse collector
3. Dump
4. Burn or bury
5. Used as fertiliser
6. Throw in road or stream
97. Other
</v>
      </c>
      <c r="E93" s="310" t="s">
        <v>212</v>
      </c>
      <c r="F93" s="310"/>
      <c r="G93" s="67" t="str">
        <f>CONCATENATE(INDEX(choices!C:C,MATCH(M93,choices!A:A,0)),"
",IF(M93=INDEX(choices!A:A,MATCH(M93,choices!A:A,0)+1),INDEX(choices!C:C,MATCH(M93,choices!A:A,0)+1),""),IF(M93=INDEX(choices!A:A,MATCH(M93,choices!A:A,0)+1), "
",""),IF(M93=INDEX(choices!A:A,MATCH(M93,choices!A:A,0)+2),INDEX(choices!C:C,MATCH(M93,choices!A:A,0)+2),""),IF(M93=INDEX(choices!A:A,MATCH(M93,choices!A:A,0)+2), "
",""),IF(M93=INDEX(choices!A:A,MATCH(M93,choices!A:A,0)+3),INDEX(choices!C:C,MATCH(M93,choices!A:A,0)+3),""),IF(M93=INDEX(choices!A:A,MATCH(M93,choices!A:A,0)+3), "
",""),IF(M93=INDEX(choices!A:A,MATCH(M93,choices!A:A,0)+4),INDEX(choices!C:C,MATCH(M93,choices!A:A,0)+4),""),IF(M93=INDEX(choices!A:A,MATCH(M93,choices!A:A,0)+4), "
",""),IF(M93=INDEX(choices!A:A,MATCH(M93,choices!A:A,0)+5),INDEX(choices!C:C,MATCH(M93,choices!A:A,0)+5),""),IF(M93=INDEX(choices!A:A,MATCH(M93,choices!A:A,0)+5), "
",""),IF(M93=INDEX(choices!A:A,MATCH(M93,choices!A:A,0)+6),INDEX(choices!C:C,MATCH(M93,choices!A:A,0)+6),""),IF(M93=INDEX(choices!A:A,MATCH(M93,choices!A:A,0)+6), "
",""),IF(M93=INDEX(choices!A:A,MATCH(M93,choices!A:A,0)+7),INDEX(choices!C:C,MATCH(M93,choices!A:A,0)+7),""),IF(M93=INDEX(choices!A:A,MATCH(M93,choices!A:A,0)+7), "
",""),IF(M93=INDEX(choices!A:A,MATCH(M93,choices!A:A,0)+8),INDEX(choices!C:C,MATCH(M93,choices!A:A,0)+8),""),IF(M93=INDEX(choices!A:A,MATCH(M93,choices!A:A,0)+8), "
",""),IF(M93=INDEX(choices!A:A,MATCH(M93,choices!A:A,0)+9),INDEX(choices!C:C,MATCH(M93,choices!A:A,0)+9),""),IF(M93=INDEX(choices!A:A,MATCH(M93,choices!A:A,0)+9), "
",""),IF(M93=INDEX(choices!A:A,MATCH(M93,choices!A:A,0)+10),INDEX(choices!C:C,MATCH(M93,choices!A:A,0)+10),""),IF(M93=INDEX(choices!A:A,MATCH(M93,choices!A:A,0)+10), "
",""),IF(M93=INDEX(choices!A:A,MATCH(M93,choices!A:A,0)+11),INDEX(choices!C:C,MATCH(M93,choices!A:A,0)+11),""),IF(M93=INDEX(choices!A:A,MATCH(M93,choices!A:A,0)+11), "
",""),IF(M93=INDEX(choices!A:A,MATCH(M93,choices!A:A,0)+12),INDEX(choices!C:C,MATCH(M93,choices!A:A,0)+12),""),IF(M93=INDEX(choices!A:A,MATCH(M93,choices!A:A,0)+12), "
",""),IF(M93=INDEX(choices!A:A,MATCH(M93,choices!A:A,0)+13),INDEX(choices!C:C,MATCH(M93,choices!A:A,0)+13),""),IF(M93=INDEX(choices!A:A,MATCH(M93,choices!A:A,0)+13), "
",""),IF(M93=INDEX(choices!A:A,MATCH(M93,choices!A:A,0)+14),INDEX(choices!C:C,MATCH(M93,choices!A:A,0)+14),""),IF(M93=INDEX(choices!A:A,MATCH(M93,choices!A:A,0)+14), "
",""),IF(M93=INDEX(choices!A:A,MATCH(M93,choices!A:A,0)+15),INDEX(choices!C:C,MATCH(M93,choices!A:A,0)+15),""),IF(M93=INDEX(choices!A:A,MATCH(M93,choices!A:A,0)+15), "
",""),IF(M93=INDEX(choices!A:A,MATCH(M93,choices!A:A,0)+16),INDEX(choices!C:C,MATCH(M93,choices!A:A,0)+16),""),IF(M93=INDEX(choices!A:A,MATCH(M93,choices!A:A,0)+16), "
",""),IF(M93=INDEX(choices!A:A,MATCH(M93,choices!A:A,0)+17),INDEX(choices!C:C,MATCH(M93,choices!A:A,0)+17),""),IF(M93=INDEX(choices!A:A,MATCH(M93,choices!A:A,0)+17), "
",""),IF(M93=INDEX(choices!A:A,MATCH(M93,choices!A:A,0)+18),INDEX(choices!C:C,MATCH(M93,choices!A:A,0)+18),""),IF(M93=INDEX(choices!A:A,MATCH(M93,choices!A:A,0)+18), "
",""),IF(M93=INDEX(choices!A:A,MATCH(M93,choices!A:A,0)+19),INDEX(choices!C:C,MATCH(M93,choices!A:A,0)+19),""),IF(M93=INDEX(choices!A:A,MATCH(M93,choices!A:A,0)+19), "
",""),IF(M93=INDEX(choices!A:A,MATCH(M93,choices!A:A,0)+20),INDEX(choices!C:C,MATCH(M93,choices!A:A,0)+20),""),IF(M93=INDEX(choices!A:A,MATCH(M93,choices!A:A,0)+20), "
","")," ")</f>
        <v xml:space="preserve">1. تجمع بواسطة عربات جمع القمامة -- عامة 
2. جامع للقمامة -- خاص 
3. مقلب زبالة 
4. تحرق أو تدفن 
5. تستخدم كسماد 
6. تلقى في الشارع أو الترعة 
97. أخرى
 </v>
      </c>
      <c r="H93" s="67" t="s">
        <v>266</v>
      </c>
      <c r="I93" s="30">
        <f>I87+1</f>
        <v>417</v>
      </c>
      <c r="K93" s="21"/>
      <c r="L93" s="21" t="s">
        <v>18</v>
      </c>
      <c r="M93" s="21" t="s">
        <v>35</v>
      </c>
      <c r="N93" s="21" t="str">
        <f>CONCATENATE("q", I93)</f>
        <v>q417</v>
      </c>
      <c r="O93" s="48" t="str">
        <f>CONCATENATE(I93,". ",E93)</f>
        <v>417. ما هي الوسيلة الرئيسية للتخلص من القمامة؟</v>
      </c>
      <c r="P93" s="127" t="str">
        <f>CONCATENATE(A93, ". ", B93)</f>
        <v>q417. What is the main method for garbage disposal?</v>
      </c>
      <c r="Q93" s="58"/>
      <c r="R93" s="58"/>
      <c r="S93" s="127" t="str">
        <f>'1_0_statistical_identification'!S164</f>
        <v>(data('valid_overall') == 1)</v>
      </c>
      <c r="T93" s="127"/>
      <c r="U93" s="127"/>
      <c r="V93" s="30"/>
      <c r="Y93" s="18" t="b">
        <v>1</v>
      </c>
      <c r="Z93" s="64"/>
      <c r="AC93" s="114"/>
    </row>
    <row r="94" spans="1:29" s="1" customFormat="1" ht="30">
      <c r="A94" s="14"/>
      <c r="B94" s="129"/>
      <c r="C94" s="129"/>
      <c r="D94" s="28"/>
      <c r="E94" s="129"/>
      <c r="F94" s="129"/>
      <c r="G94" s="133"/>
      <c r="H94" s="133"/>
      <c r="I94" s="28"/>
      <c r="J94" s="43" t="s">
        <v>23</v>
      </c>
      <c r="K94" s="28" t="str">
        <f>CONCATENATE("selected (data('",A93,"'), '97')")</f>
        <v>selected (data('q417'), '97')</v>
      </c>
      <c r="L94" s="19"/>
      <c r="M94" s="12"/>
      <c r="N94" s="14"/>
      <c r="O94" s="48"/>
      <c r="P94" s="31"/>
      <c r="Q94" s="28"/>
      <c r="R94" s="28"/>
      <c r="S94" s="31"/>
      <c r="T94" s="31"/>
      <c r="U94" s="31"/>
      <c r="V94" s="28"/>
      <c r="Y94" s="14"/>
      <c r="Z94" s="64"/>
      <c r="AA94" s="19"/>
      <c r="AB94" s="19"/>
      <c r="AC94" s="14"/>
    </row>
    <row r="95" spans="1:29" s="1" customFormat="1" ht="75">
      <c r="A95" s="14" t="str">
        <f>CONCATENATE("q",I95)</f>
        <v>q417_other</v>
      </c>
      <c r="B95" s="129" t="s">
        <v>393</v>
      </c>
      <c r="C95" s="129"/>
      <c r="D95" s="28"/>
      <c r="E95" s="129" t="s">
        <v>1088</v>
      </c>
      <c r="F95" s="129"/>
      <c r="G95" s="133"/>
      <c r="H95" s="133"/>
      <c r="I95" s="28" t="str">
        <f>CONCATENATE(I93,"_other")</f>
        <v>417_other</v>
      </c>
      <c r="J95" s="43"/>
      <c r="K95" s="28"/>
      <c r="L95" s="19" t="s">
        <v>8</v>
      </c>
      <c r="M95" s="12"/>
      <c r="N95" s="14" t="str">
        <f>CONCATENATE("q",I95)</f>
        <v>q417_other</v>
      </c>
      <c r="O95" s="86" t="str">
        <f>CONCATENATE(I95,". ",E95)</f>
        <v>417_other. أخرى</v>
      </c>
      <c r="P95" s="86" t="str">
        <f>CONCATENATE($I95,". ",B95)</f>
        <v xml:space="preserve">417_other. Other: </v>
      </c>
      <c r="Q95" s="28"/>
      <c r="R95" s="28"/>
      <c r="S95" s="86" t="str">
        <f>CONCATENATE(K94, " &amp;&amp; ", '1_0_statistical_identification'!$S$164)</f>
        <v>selected (data('q417'), '97') &amp;&amp; (data('valid_overall') == 1)</v>
      </c>
      <c r="T95" s="86"/>
      <c r="U95" s="86"/>
      <c r="V95" s="28"/>
      <c r="Y95" s="14" t="b">
        <v>1</v>
      </c>
      <c r="Z95" s="64"/>
      <c r="AA95" s="19"/>
      <c r="AB95" s="19"/>
      <c r="AC95" s="14"/>
    </row>
    <row r="96" spans="1:29" s="1" customFormat="1" ht="15">
      <c r="A96" s="14"/>
      <c r="B96" s="129"/>
      <c r="C96" s="129"/>
      <c r="D96" s="28"/>
      <c r="E96" s="129"/>
      <c r="F96" s="129"/>
      <c r="G96" s="133"/>
      <c r="H96" s="134"/>
      <c r="I96" s="28"/>
      <c r="J96" s="43" t="s">
        <v>24</v>
      </c>
      <c r="K96" s="28"/>
      <c r="L96" s="19"/>
      <c r="M96" s="12"/>
      <c r="N96" s="14"/>
      <c r="O96" s="48"/>
      <c r="P96" s="31"/>
      <c r="Q96" s="28"/>
      <c r="R96" s="28"/>
      <c r="S96" s="31"/>
      <c r="T96" s="31"/>
      <c r="U96" s="31"/>
      <c r="V96" s="28"/>
      <c r="Y96" s="14"/>
      <c r="Z96" s="64"/>
      <c r="AA96" s="19"/>
      <c r="AB96" s="19"/>
      <c r="AC96" s="14"/>
    </row>
    <row r="97" spans="1:29" s="1" customFormat="1" ht="15">
      <c r="A97" s="14"/>
      <c r="B97" s="129"/>
      <c r="C97" s="129"/>
      <c r="D97" s="28"/>
      <c r="E97" s="129"/>
      <c r="F97" s="129"/>
      <c r="G97" s="133"/>
      <c r="H97" s="134"/>
      <c r="I97" s="28"/>
      <c r="J97" s="43" t="s">
        <v>21</v>
      </c>
      <c r="K97" s="28"/>
      <c r="L97" s="19"/>
      <c r="M97" s="12"/>
      <c r="N97" s="14"/>
      <c r="O97" s="48"/>
      <c r="P97" s="31"/>
      <c r="Q97" s="28"/>
      <c r="R97" s="28"/>
      <c r="S97" s="31"/>
      <c r="T97" s="31"/>
      <c r="U97" s="31"/>
      <c r="V97" s="28"/>
      <c r="Y97" s="14"/>
      <c r="Z97" s="64"/>
      <c r="AA97" s="19"/>
      <c r="AB97" s="19"/>
      <c r="AC97" s="14"/>
    </row>
    <row r="98" spans="1:29" s="1" customFormat="1" ht="15">
      <c r="A98" s="14"/>
      <c r="B98" s="129"/>
      <c r="C98" s="129"/>
      <c r="D98" s="28"/>
      <c r="E98" s="129"/>
      <c r="F98" s="129"/>
      <c r="G98" s="133"/>
      <c r="H98" s="134"/>
      <c r="I98" s="28"/>
      <c r="J98" s="43" t="s">
        <v>20</v>
      </c>
      <c r="K98" s="28"/>
      <c r="L98" s="19"/>
      <c r="M98" s="12"/>
      <c r="N98" s="14"/>
      <c r="O98" s="48"/>
      <c r="P98" s="31"/>
      <c r="Q98" s="28"/>
      <c r="R98" s="28"/>
      <c r="S98" s="31"/>
      <c r="T98" s="31"/>
      <c r="U98" s="31"/>
      <c r="V98" s="28"/>
      <c r="Y98" s="14"/>
      <c r="Z98" s="64"/>
      <c r="AA98" s="19"/>
      <c r="AB98" s="19"/>
      <c r="AC98" s="14"/>
    </row>
    <row r="99" spans="1:29" s="18" customFormat="1" ht="150">
      <c r="A99" s="18" t="str">
        <f t="shared" si="1"/>
        <v>q418</v>
      </c>
      <c r="B99" s="67" t="s">
        <v>343</v>
      </c>
      <c r="C99" s="67"/>
      <c r="D99" s="127" t="str">
        <f>CONCATENATE(INDEX(choices!D:D,MATCH(M99,choices!A:A,0)),"
",IF(M99=INDEX(choices!A:A,MATCH(M99,choices!A:A,0)+1),INDEX(choices!D:D,MATCH(M99,choices!A:A,0)+1),""),IF(M99=INDEX(choices!A:A,MATCH(M99,choices!A:A,0)+1), "
",""),IF(M99=INDEX(choices!A:A,MATCH(M99,choices!A:A,0)+2),INDEX(choices!D:D,MATCH(M99,choices!A:A,0)+2),""),IF(M99=INDEX(choices!A:A,MATCH(M99,choices!A:A,0)+2), "
",""),IF(M99=INDEX(choices!A:A,MATCH(M99,choices!A:A,0)+3),INDEX(choices!D:D,MATCH(M99,choices!A:A,0)+3),""),IF(M99=INDEX(choices!A:A,MATCH(M99,choices!A:A,0)+3), "
",""),IF(M99=INDEX(choices!A:A,MATCH(M99,choices!A:A,0)+4),INDEX(choices!D:D,MATCH(M99,choices!A:A,0)+4),""),IF(M99=INDEX(choices!A:A,MATCH(M99,choices!A:A,0)+4), "
",""),IF(M99=INDEX(choices!A:A,MATCH(M99,choices!A:A,0)+5),INDEX(choices!D:D,MATCH(M99,choices!A:A,0)+5),""),IF(M99=INDEX(choices!A:A,MATCH(M99,choices!A:A,0)+5), "
",""),IF(M99=INDEX(choices!A:A,MATCH(M99,choices!A:A,0)+6),INDEX(choices!D:D,MATCH(M99,choices!A:A,0)+6),""),IF(M99=INDEX(choices!A:A,MATCH(M99,choices!A:A,0)+6), "
",""),IF(M99=INDEX(choices!A:A,MATCH(M99,choices!A:A,0)+7),INDEX(choices!D:D,MATCH(M99,choices!A:A,0)+7),""),IF(M99=INDEX(choices!A:A,MATCH(M99,choices!A:A,0)+7), "
",""),IF(M99=INDEX(choices!A:A,MATCH(M99,choices!A:A,0)+8),INDEX(choices!D:D,MATCH(M99,choices!A:A,0)+8),""),IF(M99=INDEX(choices!A:A,MATCH(M99,choices!A:A,0)+8), "
",""),IF(M99=INDEX(choices!A:A,MATCH(M99,choices!A:A,0)+9),INDEX(choices!D:D,MATCH(M99,choices!A:A,0)+9),""),IF(M99=INDEX(choices!A:A,MATCH(M99,choices!A:A,0)+9), "
",""),IF(M99=INDEX(choices!A:A,MATCH(M99,choices!A:A,0)+10),INDEX(choices!D:D,MATCH(M99,choices!A:A,0)+10),""),IF(M99=INDEX(choices!A:A,MATCH(M99,choices!A:A,0)+10), "
",""),IF(M99=INDEX(choices!A:A,MATCH(M99,choices!A:A,0)+11),INDEX(choices!D:D,MATCH(M99,choices!A:A,0)+11),""),IF(M99=INDEX(choices!A:A,MATCH(M99,choices!A:A,0)+11), "
",""),IF(M99=INDEX(choices!A:A,MATCH(M99,choices!A:A,0)+12),INDEX(choices!D:D,MATCH(M99,choices!A:A,0)+12),""),IF(M99=INDEX(choices!A:A,MATCH(M99,choices!A:A,0)+12), "
",""),IF(M99=INDEX(choices!A:A,MATCH(M99,choices!A:A,0)+13),INDEX(choices!D:D,MATCH(M99,choices!A:A,0)+13),""),IF(M99=INDEX(choices!A:A,MATCH(M99,choices!A:A,0)+13), "
",""),IF(M99=INDEX(choices!A:A,MATCH(M99,choices!A:A,0)+14),INDEX(choices!D:D,MATCH(M99,choices!A:A,0)+14),""),IF(M99=INDEX(choices!A:A,MATCH(M99,choices!A:A,0)+14), "
",""),IF(M99=INDEX(choices!A:A,MATCH(M99,choices!A:A,0)+15),INDEX(choices!D:D,MATCH(M99,choices!A:A,0)+15),""),IF(M99=INDEX(choices!A:A,MATCH(M99,choices!A:A,0)+15), "
",""),IF(M99=INDEX(choices!A:A,MATCH(M99,choices!A:A,0)+16),INDEX(choices!D:D,MATCH(M99,choices!A:A,0)+16),""),IF(M99=INDEX(choices!A:A,MATCH(M99,choices!A:A,0)+16), "
",""),IF(M99=INDEX(choices!A:A,MATCH(M99,choices!A:A,0)+17),INDEX(choices!D:D,MATCH(M99,choices!A:A,0)+17),""),IF(M99=INDEX(choices!A:A,MATCH(M99,choices!A:A,0)+17), "
",""),IF(M99=INDEX(choices!A:A,MATCH(M99,choices!A:A,0)+18),INDEX(choices!D:D,MATCH(M99,choices!A:A,0)+18),""),IF(M99=INDEX(choices!A:A,MATCH(M99,choices!A:A,0)+18), "
",""),IF(M99=INDEX(choices!A:A,MATCH(M99,choices!A:A,0)+19),INDEX(choices!D:D,MATCH(M99,choices!A:A,0)+19),""),IF(M99=INDEX(choices!A:A,MATCH(M99,choices!A:A,0)+19), "
",""),IF(M99=INDEX(choices!A:A,MATCH(M99,choices!A:A,0)+20),INDEX(choices!D:D,MATCH(M99,choices!A:A,0)+20),""),IF(M99=INDEX(choices!A:A,MATCH(M99,choices!A:A,0)+20), "
",""))</f>
        <v xml:space="preserve">1. DSL
2. USB modem
3. Dial-up
4. Through neighbors
5. None
97. Other
</v>
      </c>
      <c r="E99" s="310" t="s">
        <v>1100</v>
      </c>
      <c r="F99" s="310"/>
      <c r="G99" s="67" t="str">
        <f>CONCATENATE(INDEX(choices!C:C,MATCH(M99,choices!A:A,0)),"
",IF(M99=INDEX(choices!A:A,MATCH(M99,choices!A:A,0)+1),INDEX(choices!C:C,MATCH(M99,choices!A:A,0)+1),""),IF(M99=INDEX(choices!A:A,MATCH(M99,choices!A:A,0)+1), "
",""),IF(M99=INDEX(choices!A:A,MATCH(M99,choices!A:A,0)+2),INDEX(choices!C:C,MATCH(M99,choices!A:A,0)+2),""),IF(M99=INDEX(choices!A:A,MATCH(M99,choices!A:A,0)+2), "
",""),IF(M99=INDEX(choices!A:A,MATCH(M99,choices!A:A,0)+3),INDEX(choices!C:C,MATCH(M99,choices!A:A,0)+3),""),IF(M99=INDEX(choices!A:A,MATCH(M99,choices!A:A,0)+3), "
",""),IF(M99=INDEX(choices!A:A,MATCH(M99,choices!A:A,0)+4),INDEX(choices!C:C,MATCH(M99,choices!A:A,0)+4),""),IF(M99=INDEX(choices!A:A,MATCH(M99,choices!A:A,0)+4), "
",""),IF(M99=INDEX(choices!A:A,MATCH(M99,choices!A:A,0)+5),INDEX(choices!C:C,MATCH(M99,choices!A:A,0)+5),""),IF(M99=INDEX(choices!A:A,MATCH(M99,choices!A:A,0)+5), "
",""),IF(M99=INDEX(choices!A:A,MATCH(M99,choices!A:A,0)+6),INDEX(choices!C:C,MATCH(M99,choices!A:A,0)+6),""),IF(M99=INDEX(choices!A:A,MATCH(M99,choices!A:A,0)+6), "
",""),IF(M99=INDEX(choices!A:A,MATCH(M99,choices!A:A,0)+7),INDEX(choices!C:C,MATCH(M99,choices!A:A,0)+7),""),IF(M99=INDEX(choices!A:A,MATCH(M99,choices!A:A,0)+7), "
",""),IF(M99=INDEX(choices!A:A,MATCH(M99,choices!A:A,0)+8),INDEX(choices!C:C,MATCH(M99,choices!A:A,0)+8),""),IF(M99=INDEX(choices!A:A,MATCH(M99,choices!A:A,0)+8), "
",""),IF(M99=INDEX(choices!A:A,MATCH(M99,choices!A:A,0)+9),INDEX(choices!C:C,MATCH(M99,choices!A:A,0)+9),""),IF(M99=INDEX(choices!A:A,MATCH(M99,choices!A:A,0)+9), "
",""),IF(M99=INDEX(choices!A:A,MATCH(M99,choices!A:A,0)+10),INDEX(choices!C:C,MATCH(M99,choices!A:A,0)+10),""),IF(M99=INDEX(choices!A:A,MATCH(M99,choices!A:A,0)+10), "
",""),IF(M99=INDEX(choices!A:A,MATCH(M99,choices!A:A,0)+11),INDEX(choices!C:C,MATCH(M99,choices!A:A,0)+11),""),IF(M99=INDEX(choices!A:A,MATCH(M99,choices!A:A,0)+11), "
",""),IF(M99=INDEX(choices!A:A,MATCH(M99,choices!A:A,0)+12),INDEX(choices!C:C,MATCH(M99,choices!A:A,0)+12),""),IF(M99=INDEX(choices!A:A,MATCH(M99,choices!A:A,0)+12), "
",""),IF(M99=INDEX(choices!A:A,MATCH(M99,choices!A:A,0)+13),INDEX(choices!C:C,MATCH(M99,choices!A:A,0)+13),""),IF(M99=INDEX(choices!A:A,MATCH(M99,choices!A:A,0)+13), "
",""),IF(M99=INDEX(choices!A:A,MATCH(M99,choices!A:A,0)+14),INDEX(choices!C:C,MATCH(M99,choices!A:A,0)+14),""),IF(M99=INDEX(choices!A:A,MATCH(M99,choices!A:A,0)+14), "
",""),IF(M99=INDEX(choices!A:A,MATCH(M99,choices!A:A,0)+15),INDEX(choices!C:C,MATCH(M99,choices!A:A,0)+15),""),IF(M99=INDEX(choices!A:A,MATCH(M99,choices!A:A,0)+15), "
",""),IF(M99=INDEX(choices!A:A,MATCH(M99,choices!A:A,0)+16),INDEX(choices!C:C,MATCH(M99,choices!A:A,0)+16),""),IF(M99=INDEX(choices!A:A,MATCH(M99,choices!A:A,0)+16), "
",""),IF(M99=INDEX(choices!A:A,MATCH(M99,choices!A:A,0)+17),INDEX(choices!C:C,MATCH(M99,choices!A:A,0)+17),""),IF(M99=INDEX(choices!A:A,MATCH(M99,choices!A:A,0)+17), "
",""),IF(M99=INDEX(choices!A:A,MATCH(M99,choices!A:A,0)+18),INDEX(choices!C:C,MATCH(M99,choices!A:A,0)+18),""),IF(M99=INDEX(choices!A:A,MATCH(M99,choices!A:A,0)+18), "
",""),IF(M99=INDEX(choices!A:A,MATCH(M99,choices!A:A,0)+19),INDEX(choices!C:C,MATCH(M99,choices!A:A,0)+19),""),IF(M99=INDEX(choices!A:A,MATCH(M99,choices!A:A,0)+19), "
",""),IF(M99=INDEX(choices!A:A,MATCH(M99,choices!A:A,0)+20),INDEX(choices!C:C,MATCH(M99,choices!A:A,0)+20),""),IF(M99=INDEX(choices!A:A,MATCH(M99,choices!A:A,0)+20), "
","")," ")</f>
        <v xml:space="preserve">1. خط المشترك الرقمي DSL
2. USB فلاشة انترنت 
3. الاتصال الهاتفي  - من خلال التليفون 
4. من خلال الجيران
5. لا يوجد 
97. أخرى
 </v>
      </c>
      <c r="H99" s="67" t="s">
        <v>266</v>
      </c>
      <c r="I99" s="30">
        <f t="shared" ref="I99" si="2">I93+1</f>
        <v>418</v>
      </c>
      <c r="K99" s="21"/>
      <c r="L99" s="21" t="s">
        <v>18</v>
      </c>
      <c r="M99" s="21" t="s">
        <v>34</v>
      </c>
      <c r="N99" s="21" t="str">
        <f>CONCATENATE("q", I99)</f>
        <v>q418</v>
      </c>
      <c r="O99" s="48" t="str">
        <f>CONCATENATE(I99,". ",E99)</f>
        <v xml:space="preserve">418. هل يوجد وصلة انترنت في المنزل؟ </v>
      </c>
      <c r="P99" s="127" t="str">
        <f>CONCATENATE(A99, ". ", B99)</f>
        <v xml:space="preserve">q418. Do you have access to internet at home?
</v>
      </c>
      <c r="Q99" s="58"/>
      <c r="R99" s="58"/>
      <c r="S99" s="127" t="str">
        <f>'1_0_statistical_identification'!S164</f>
        <v>(data('valid_overall') == 1)</v>
      </c>
      <c r="T99" s="127"/>
      <c r="U99" s="127"/>
      <c r="V99" s="30"/>
      <c r="Y99" s="18" t="b">
        <v>1</v>
      </c>
      <c r="Z99" s="64"/>
      <c r="AC99" s="114"/>
    </row>
    <row r="100" spans="1:29" s="1" customFormat="1" ht="30">
      <c r="A100" s="14"/>
      <c r="B100" s="129"/>
      <c r="C100" s="129"/>
      <c r="D100" s="28"/>
      <c r="E100" s="129"/>
      <c r="F100" s="129"/>
      <c r="G100" s="133"/>
      <c r="H100" s="133"/>
      <c r="I100" s="28"/>
      <c r="J100" s="43" t="s">
        <v>23</v>
      </c>
      <c r="K100" s="28" t="str">
        <f>CONCATENATE("selected (data('",A99,"'), '97')")</f>
        <v>selected (data('q418'), '97')</v>
      </c>
      <c r="L100" s="19"/>
      <c r="M100" s="12"/>
      <c r="N100" s="14"/>
      <c r="O100" s="48"/>
      <c r="P100" s="31"/>
      <c r="Q100" s="28"/>
      <c r="R100" s="28"/>
      <c r="S100" s="31"/>
      <c r="T100" s="31"/>
      <c r="U100" s="31"/>
      <c r="V100" s="28"/>
      <c r="Y100" s="14"/>
      <c r="Z100" s="64"/>
      <c r="AA100" s="19"/>
      <c r="AB100" s="19"/>
      <c r="AC100" s="14"/>
    </row>
    <row r="101" spans="1:29" s="1" customFormat="1" ht="75">
      <c r="A101" s="14" t="str">
        <f>CONCATENATE("q",I101)</f>
        <v>q418_other</v>
      </c>
      <c r="B101" s="129" t="s">
        <v>393</v>
      </c>
      <c r="C101" s="129"/>
      <c r="D101" s="28"/>
      <c r="E101" s="129" t="s">
        <v>1088</v>
      </c>
      <c r="F101" s="129"/>
      <c r="G101" s="133"/>
      <c r="H101" s="133"/>
      <c r="I101" s="28" t="str">
        <f>CONCATENATE(I99,"_other")</f>
        <v>418_other</v>
      </c>
      <c r="J101" s="43"/>
      <c r="K101" s="28"/>
      <c r="L101" s="19" t="s">
        <v>8</v>
      </c>
      <c r="M101" s="12"/>
      <c r="N101" s="14" t="str">
        <f>CONCATENATE("q",I101)</f>
        <v>q418_other</v>
      </c>
      <c r="O101" s="86" t="str">
        <f>CONCATENATE(I101,". ",E101)</f>
        <v>418_other. أخرى</v>
      </c>
      <c r="P101" s="86" t="str">
        <f>CONCATENATE($I101,". ",B101)</f>
        <v xml:space="preserve">418_other. Other: </v>
      </c>
      <c r="Q101" s="28"/>
      <c r="R101" s="28"/>
      <c r="S101" s="86" t="str">
        <f>CONCATENATE(K100, " &amp;&amp; ", '1_0_statistical_identification'!$S$164)</f>
        <v>selected (data('q418'), '97') &amp;&amp; (data('valid_overall') == 1)</v>
      </c>
      <c r="T101" s="86"/>
      <c r="U101" s="86"/>
      <c r="V101" s="28"/>
      <c r="Y101" s="14" t="b">
        <v>1</v>
      </c>
      <c r="Z101" s="64"/>
      <c r="AA101" s="19"/>
      <c r="AB101" s="19"/>
      <c r="AC101" s="14"/>
    </row>
    <row r="102" spans="1:29" s="1" customFormat="1" ht="15">
      <c r="A102" s="14"/>
      <c r="B102" s="129"/>
      <c r="C102" s="129"/>
      <c r="D102" s="28"/>
      <c r="E102" s="129"/>
      <c r="F102" s="129"/>
      <c r="G102" s="133"/>
      <c r="H102" s="134"/>
      <c r="I102" s="28"/>
      <c r="J102" s="43" t="s">
        <v>24</v>
      </c>
      <c r="K102" s="28"/>
      <c r="L102" s="19"/>
      <c r="M102" s="12"/>
      <c r="N102" s="14"/>
      <c r="O102" s="48"/>
      <c r="P102" s="31"/>
      <c r="Q102" s="28"/>
      <c r="R102" s="28"/>
      <c r="S102" s="31"/>
      <c r="T102" s="31"/>
      <c r="U102" s="31"/>
      <c r="V102" s="28"/>
      <c r="Y102" s="14"/>
      <c r="Z102" s="64"/>
      <c r="AA102" s="19"/>
      <c r="AB102" s="19"/>
      <c r="AC102" s="14"/>
    </row>
    <row r="103" spans="1:29" s="1" customFormat="1" ht="15">
      <c r="A103" s="14"/>
      <c r="B103" s="129"/>
      <c r="C103" s="129"/>
      <c r="D103" s="28"/>
      <c r="E103" s="129"/>
      <c r="F103" s="129"/>
      <c r="G103" s="133"/>
      <c r="H103" s="134"/>
      <c r="I103" s="28"/>
      <c r="J103" s="43" t="s">
        <v>21</v>
      </c>
      <c r="K103" s="28"/>
      <c r="L103" s="19"/>
      <c r="M103" s="12"/>
      <c r="N103" s="14"/>
      <c r="O103" s="48"/>
      <c r="P103" s="31"/>
      <c r="Q103" s="28"/>
      <c r="R103" s="28"/>
      <c r="S103" s="31"/>
      <c r="T103" s="31"/>
      <c r="U103" s="31"/>
      <c r="V103" s="28"/>
      <c r="Y103" s="14"/>
      <c r="Z103" s="64"/>
      <c r="AA103" s="19"/>
      <c r="AB103" s="19"/>
      <c r="AC103" s="14"/>
    </row>
    <row r="104" spans="1:29">
      <c r="B104" s="67"/>
      <c r="C104" s="67"/>
      <c r="D104" s="127"/>
      <c r="E104" s="310"/>
      <c r="F104" s="310"/>
      <c r="G104" s="67"/>
      <c r="H104" s="67"/>
      <c r="J104" s="18" t="s">
        <v>20</v>
      </c>
      <c r="O104" s="48" t="str">
        <f>CONCATENATE(I104,". ",E104)</f>
        <v xml:space="preserve">. </v>
      </c>
      <c r="P104" s="127"/>
      <c r="Q104" s="58"/>
      <c r="R104" s="58"/>
      <c r="S104" s="127"/>
      <c r="T104" s="127"/>
      <c r="U104" s="127"/>
      <c r="Y104" s="9" t="b">
        <v>1</v>
      </c>
      <c r="Z104" s="64"/>
    </row>
    <row r="105" spans="1:29" ht="75">
      <c r="A105" s="18" t="str">
        <f t="shared" ref="A105" si="3">N105</f>
        <v>q419</v>
      </c>
      <c r="B105" s="67" t="s">
        <v>344</v>
      </c>
      <c r="C105" s="67"/>
      <c r="E105" s="310" t="s">
        <v>1101</v>
      </c>
      <c r="F105" s="310"/>
      <c r="I105" s="30">
        <f>I99+1</f>
        <v>419</v>
      </c>
      <c r="L105" s="21" t="s">
        <v>22</v>
      </c>
      <c r="N105" s="21" t="str">
        <f>CONCATENATE("q", I105)</f>
        <v>q419</v>
      </c>
      <c r="O105" s="48" t="str">
        <f>CONCATENATE(I105,". ",E105)</f>
        <v xml:space="preserve">419. هل تمتلك الأسرة أي من العناصر التاليه؟ </v>
      </c>
      <c r="P105" s="127" t="str">
        <f t="shared" ref="P105" si="4">CONCATENATE(A105, ". ", B105)</f>
        <v>q419. Does your family own any of the following items?</v>
      </c>
      <c r="Q105" s="58"/>
      <c r="R105" s="58"/>
      <c r="S105" s="127"/>
      <c r="T105" s="127"/>
      <c r="U105" s="127"/>
      <c r="Z105" s="64"/>
    </row>
    <row r="106" spans="1:29">
      <c r="B106" s="67"/>
      <c r="C106" s="67"/>
      <c r="E106" s="310"/>
      <c r="F106" s="310"/>
      <c r="O106" s="48"/>
      <c r="P106" s="127"/>
      <c r="Q106" s="58"/>
      <c r="R106" s="58"/>
      <c r="S106" s="127"/>
      <c r="T106" s="127"/>
      <c r="U106" s="127"/>
      <c r="Z106" s="64"/>
    </row>
    <row r="107" spans="1:29" ht="60">
      <c r="A107" s="18" t="str">
        <f>CONCATENATE(A$105,"_[#]")</f>
        <v>q419_[#]</v>
      </c>
      <c r="B107" s="130" t="s">
        <v>1218</v>
      </c>
      <c r="C107" s="130"/>
      <c r="D107" s="127" t="s">
        <v>404</v>
      </c>
      <c r="E107" s="336" t="s">
        <v>1219</v>
      </c>
      <c r="F107" s="336"/>
      <c r="G107" s="67" t="s">
        <v>1548</v>
      </c>
      <c r="O107" s="48"/>
      <c r="P107" s="116"/>
      <c r="Q107" s="58"/>
      <c r="R107" s="58"/>
      <c r="S107" s="116"/>
      <c r="T107" s="116"/>
      <c r="U107" s="116"/>
      <c r="Z107" s="64"/>
    </row>
    <row r="108" spans="1:29">
      <c r="A108" s="18">
        <f>I108</f>
        <v>1</v>
      </c>
      <c r="B108" s="337" t="s">
        <v>807</v>
      </c>
      <c r="C108" s="337"/>
      <c r="E108" s="338" t="s">
        <v>405</v>
      </c>
      <c r="F108" s="338"/>
      <c r="I108" s="30">
        <v>1</v>
      </c>
      <c r="O108" s="48"/>
      <c r="P108" s="116"/>
      <c r="Q108" s="58"/>
      <c r="R108" s="58"/>
      <c r="S108" s="116"/>
      <c r="T108" s="116"/>
      <c r="U108" s="116"/>
      <c r="Z108" s="64"/>
    </row>
    <row r="109" spans="1:29">
      <c r="A109" s="18">
        <f t="shared" ref="A109:A151" si="5">I109</f>
        <v>2</v>
      </c>
      <c r="B109" s="337" t="s">
        <v>808</v>
      </c>
      <c r="C109" s="337"/>
      <c r="E109" s="339" t="s">
        <v>1103</v>
      </c>
      <c r="F109" s="339"/>
      <c r="I109" s="30">
        <f>I108+1</f>
        <v>2</v>
      </c>
      <c r="O109" s="48"/>
      <c r="P109" s="116"/>
      <c r="Q109" s="58"/>
      <c r="R109" s="58"/>
      <c r="S109" s="116"/>
      <c r="T109" s="116"/>
      <c r="U109" s="116"/>
      <c r="Z109" s="64"/>
    </row>
    <row r="110" spans="1:29">
      <c r="A110" s="18">
        <f t="shared" si="5"/>
        <v>3</v>
      </c>
      <c r="B110" s="337" t="s">
        <v>809</v>
      </c>
      <c r="C110" s="337"/>
      <c r="E110" s="338" t="s">
        <v>844</v>
      </c>
      <c r="F110" s="338"/>
      <c r="I110" s="30">
        <f t="shared" ref="I110:I151" si="6">I109+1</f>
        <v>3</v>
      </c>
      <c r="O110" s="48"/>
      <c r="P110" s="116"/>
      <c r="Q110" s="58"/>
      <c r="R110" s="58"/>
      <c r="S110" s="116"/>
      <c r="T110" s="116"/>
      <c r="U110" s="116"/>
      <c r="Z110" s="64"/>
    </row>
    <row r="111" spans="1:29" ht="45">
      <c r="A111" s="18">
        <f t="shared" si="5"/>
        <v>4</v>
      </c>
      <c r="B111" s="337" t="s">
        <v>810</v>
      </c>
      <c r="C111" s="48" t="str">
        <f>CONCATENATE("Hints: ", R111)</f>
        <v>Hints: *Not a flat screen</v>
      </c>
      <c r="E111" s="338" t="s">
        <v>845</v>
      </c>
      <c r="F111" s="48" t="str">
        <f t="shared" ref="F111" si="7">CONCATENATE("Hints: ",Q111, )</f>
        <v xml:space="preserve">Hints: * ليس شاشة مسطحة
</v>
      </c>
      <c r="I111" s="30">
        <f t="shared" si="6"/>
        <v>4</v>
      </c>
      <c r="O111" s="48"/>
      <c r="P111" s="116"/>
      <c r="Q111" s="70" t="s">
        <v>269</v>
      </c>
      <c r="R111" s="30" t="s">
        <v>45</v>
      </c>
      <c r="S111" s="116"/>
      <c r="T111" s="116"/>
      <c r="U111" s="116"/>
      <c r="Z111" s="64"/>
    </row>
    <row r="112" spans="1:29">
      <c r="A112" s="18">
        <f t="shared" si="5"/>
        <v>5</v>
      </c>
      <c r="B112" s="337" t="s">
        <v>811</v>
      </c>
      <c r="C112" s="48"/>
      <c r="E112" s="338" t="s">
        <v>846</v>
      </c>
      <c r="F112" s="48"/>
      <c r="I112" s="30">
        <f t="shared" si="6"/>
        <v>5</v>
      </c>
      <c r="O112" s="48"/>
      <c r="P112" s="116"/>
      <c r="R112" s="58"/>
      <c r="S112" s="116"/>
      <c r="T112" s="116"/>
      <c r="U112" s="116"/>
      <c r="Z112" s="64"/>
    </row>
    <row r="113" spans="1:29" ht="15">
      <c r="A113" s="18">
        <f t="shared" si="5"/>
        <v>6</v>
      </c>
      <c r="B113" s="337" t="s">
        <v>812</v>
      </c>
      <c r="C113" s="48"/>
      <c r="E113" s="338" t="s">
        <v>847</v>
      </c>
      <c r="F113" s="48"/>
      <c r="I113" s="30">
        <f t="shared" si="6"/>
        <v>6</v>
      </c>
      <c r="K113" s="18"/>
      <c r="L113" s="18"/>
      <c r="M113" s="18"/>
      <c r="N113" s="18"/>
      <c r="O113" s="48"/>
      <c r="Z113" s="64"/>
      <c r="AA113" s="9"/>
      <c r="AB113" s="9"/>
      <c r="AC113" s="9"/>
    </row>
    <row r="114" spans="1:29" ht="60">
      <c r="A114" s="18">
        <f t="shared" si="5"/>
        <v>7</v>
      </c>
      <c r="B114" s="337" t="s">
        <v>813</v>
      </c>
      <c r="C114" s="337"/>
      <c r="E114" s="310" t="s">
        <v>1102</v>
      </c>
      <c r="F114" s="310"/>
      <c r="I114" s="30">
        <f t="shared" si="6"/>
        <v>7</v>
      </c>
      <c r="K114" s="18"/>
      <c r="L114" s="18"/>
      <c r="M114" s="18"/>
      <c r="N114" s="18"/>
      <c r="O114" s="48"/>
      <c r="Q114" s="30"/>
      <c r="Z114" s="64"/>
      <c r="AA114" s="9"/>
      <c r="AB114" s="9"/>
      <c r="AC114" s="9"/>
    </row>
    <row r="115" spans="1:29" ht="15">
      <c r="A115" s="18">
        <f t="shared" si="5"/>
        <v>8</v>
      </c>
      <c r="B115" s="337" t="s">
        <v>406</v>
      </c>
      <c r="C115" s="337"/>
      <c r="E115" s="338" t="s">
        <v>848</v>
      </c>
      <c r="F115" s="338"/>
      <c r="I115" s="30">
        <f t="shared" si="6"/>
        <v>8</v>
      </c>
      <c r="K115" s="18"/>
      <c r="L115" s="18"/>
      <c r="M115" s="18"/>
      <c r="N115" s="18"/>
      <c r="O115" s="48"/>
      <c r="Q115" s="30"/>
      <c r="Z115" s="64"/>
      <c r="AA115" s="9"/>
      <c r="AB115" s="9"/>
      <c r="AC115" s="9"/>
    </row>
    <row r="116" spans="1:29" ht="15">
      <c r="A116" s="18">
        <f t="shared" si="5"/>
        <v>9</v>
      </c>
      <c r="B116" s="337" t="s">
        <v>814</v>
      </c>
      <c r="C116" s="337"/>
      <c r="E116" s="338" t="s">
        <v>849</v>
      </c>
      <c r="F116" s="338"/>
      <c r="I116" s="30">
        <f t="shared" si="6"/>
        <v>9</v>
      </c>
      <c r="K116" s="18"/>
      <c r="L116" s="18"/>
      <c r="M116" s="18"/>
      <c r="N116" s="18"/>
      <c r="O116" s="48"/>
      <c r="Q116" s="30"/>
      <c r="Z116" s="64"/>
      <c r="AA116" s="9"/>
      <c r="AB116" s="9"/>
      <c r="AC116" s="9"/>
    </row>
    <row r="117" spans="1:29" ht="26.25">
      <c r="A117" s="18">
        <f t="shared" si="5"/>
        <v>10</v>
      </c>
      <c r="B117" s="337" t="s">
        <v>815</v>
      </c>
      <c r="C117" s="337"/>
      <c r="E117" s="339" t="s">
        <v>1104</v>
      </c>
      <c r="F117" s="339"/>
      <c r="I117" s="30">
        <f t="shared" si="6"/>
        <v>10</v>
      </c>
      <c r="K117" s="18"/>
      <c r="L117" s="18"/>
      <c r="M117" s="18"/>
      <c r="N117" s="18"/>
      <c r="O117" s="48"/>
      <c r="Q117" s="30"/>
      <c r="Z117" s="64"/>
      <c r="AA117" s="9"/>
      <c r="AB117" s="9"/>
      <c r="AC117" s="9"/>
    </row>
    <row r="118" spans="1:29" ht="39">
      <c r="A118" s="18">
        <f t="shared" si="5"/>
        <v>11</v>
      </c>
      <c r="B118" s="337" t="s">
        <v>816</v>
      </c>
      <c r="C118" s="337"/>
      <c r="E118" s="338" t="s">
        <v>850</v>
      </c>
      <c r="F118" s="338"/>
      <c r="I118" s="30">
        <f t="shared" si="6"/>
        <v>11</v>
      </c>
      <c r="K118" s="18"/>
      <c r="L118" s="18"/>
      <c r="M118" s="18"/>
      <c r="N118" s="18"/>
      <c r="O118" s="48"/>
      <c r="Q118" s="30"/>
      <c r="Z118" s="64"/>
      <c r="AA118" s="9"/>
      <c r="AB118" s="9"/>
      <c r="AC118" s="9"/>
    </row>
    <row r="119" spans="1:29" ht="26.25">
      <c r="A119" s="18">
        <f t="shared" si="5"/>
        <v>12</v>
      </c>
      <c r="B119" s="337" t="s">
        <v>817</v>
      </c>
      <c r="C119" s="337"/>
      <c r="E119" s="338" t="s">
        <v>851</v>
      </c>
      <c r="F119" s="338"/>
      <c r="I119" s="30">
        <f t="shared" si="6"/>
        <v>12</v>
      </c>
      <c r="K119" s="18"/>
      <c r="L119" s="18"/>
      <c r="M119" s="18"/>
      <c r="N119" s="18"/>
      <c r="O119" s="48"/>
      <c r="Q119" s="30"/>
      <c r="Z119" s="64"/>
      <c r="AA119" s="9"/>
      <c r="AB119" s="9"/>
      <c r="AC119" s="9"/>
    </row>
    <row r="120" spans="1:29" ht="15">
      <c r="A120" s="18">
        <f t="shared" si="5"/>
        <v>13</v>
      </c>
      <c r="B120" s="337" t="s">
        <v>818</v>
      </c>
      <c r="C120" s="337"/>
      <c r="E120" s="338" t="s">
        <v>852</v>
      </c>
      <c r="F120" s="338"/>
      <c r="I120" s="30">
        <f t="shared" si="6"/>
        <v>13</v>
      </c>
      <c r="K120" s="18"/>
      <c r="L120" s="18"/>
      <c r="M120" s="18"/>
      <c r="N120" s="18"/>
      <c r="O120" s="48"/>
      <c r="Q120" s="30"/>
      <c r="Z120" s="64"/>
      <c r="AA120" s="9"/>
      <c r="AB120" s="9"/>
      <c r="AC120" s="9"/>
    </row>
    <row r="121" spans="1:29" ht="26.25">
      <c r="A121" s="18">
        <f t="shared" si="5"/>
        <v>14</v>
      </c>
      <c r="B121" s="337" t="s">
        <v>819</v>
      </c>
      <c r="C121" s="48"/>
      <c r="E121" s="339" t="s">
        <v>1105</v>
      </c>
      <c r="F121" s="48"/>
      <c r="I121" s="30">
        <f t="shared" si="6"/>
        <v>14</v>
      </c>
      <c r="K121" s="18"/>
      <c r="L121" s="18"/>
      <c r="M121" s="18"/>
      <c r="N121" s="18"/>
      <c r="O121" s="48"/>
      <c r="Z121" s="64"/>
      <c r="AA121" s="9"/>
      <c r="AB121" s="9"/>
      <c r="AC121" s="9"/>
    </row>
    <row r="122" spans="1:29" ht="39">
      <c r="A122" s="18">
        <f t="shared" si="5"/>
        <v>15</v>
      </c>
      <c r="B122" s="337" t="s">
        <v>820</v>
      </c>
      <c r="C122" s="337"/>
      <c r="E122" s="338" t="s">
        <v>853</v>
      </c>
      <c r="F122" s="338"/>
      <c r="I122" s="30">
        <f t="shared" si="6"/>
        <v>15</v>
      </c>
      <c r="K122" s="18"/>
      <c r="L122" s="18"/>
      <c r="M122" s="18"/>
      <c r="N122" s="18"/>
      <c r="O122" s="48"/>
      <c r="Q122" s="30"/>
      <c r="Z122" s="64"/>
      <c r="AA122" s="9"/>
      <c r="AB122" s="9"/>
      <c r="AC122" s="9"/>
    </row>
    <row r="123" spans="1:29" ht="15">
      <c r="A123" s="18">
        <f t="shared" si="5"/>
        <v>16</v>
      </c>
      <c r="B123" s="337" t="s">
        <v>821</v>
      </c>
      <c r="C123" s="337"/>
      <c r="E123" s="338" t="s">
        <v>854</v>
      </c>
      <c r="F123" s="338"/>
      <c r="I123" s="30">
        <f t="shared" si="6"/>
        <v>16</v>
      </c>
      <c r="K123" s="18"/>
      <c r="L123" s="18"/>
      <c r="M123" s="18"/>
      <c r="N123" s="18"/>
      <c r="O123" s="48"/>
      <c r="Q123" s="30"/>
      <c r="Z123" s="64"/>
      <c r="AA123" s="9"/>
      <c r="AB123" s="9"/>
      <c r="AC123" s="9"/>
    </row>
    <row r="124" spans="1:29" ht="30">
      <c r="A124" s="18">
        <f t="shared" si="5"/>
        <v>17</v>
      </c>
      <c r="B124" s="337" t="s">
        <v>822</v>
      </c>
      <c r="C124" s="48" t="str">
        <f>CONCATENATE("Hints: ", R124)</f>
        <v>Hints: For clothes</v>
      </c>
      <c r="E124" s="338" t="s">
        <v>855</v>
      </c>
      <c r="F124" s="48" t="str">
        <f>CONCATENATE("Hints: ",Q124, )</f>
        <v>Hints: للملابس</v>
      </c>
      <c r="I124" s="30">
        <f t="shared" si="6"/>
        <v>17</v>
      </c>
      <c r="K124" s="18"/>
      <c r="L124" s="18"/>
      <c r="M124" s="18"/>
      <c r="N124" s="18"/>
      <c r="O124" s="48"/>
      <c r="Q124" s="70" t="s">
        <v>268</v>
      </c>
      <c r="R124" s="58" t="s">
        <v>44</v>
      </c>
      <c r="Z124" s="64"/>
      <c r="AA124" s="9"/>
      <c r="AB124" s="9"/>
      <c r="AC124" s="9"/>
    </row>
    <row r="125" spans="1:29" ht="39">
      <c r="A125" s="18">
        <f t="shared" si="5"/>
        <v>18</v>
      </c>
      <c r="B125" s="337" t="s">
        <v>823</v>
      </c>
      <c r="C125" s="337"/>
      <c r="E125" s="338" t="s">
        <v>856</v>
      </c>
      <c r="F125" s="338"/>
      <c r="I125" s="30">
        <f t="shared" si="6"/>
        <v>18</v>
      </c>
      <c r="K125" s="18"/>
      <c r="L125" s="18"/>
      <c r="M125" s="18"/>
      <c r="N125" s="18"/>
      <c r="O125" s="48"/>
      <c r="Q125" s="30"/>
      <c r="Z125" s="64"/>
      <c r="AA125" s="9"/>
      <c r="AB125" s="9"/>
      <c r="AC125" s="9"/>
    </row>
    <row r="126" spans="1:29" ht="51.75">
      <c r="A126" s="18">
        <f t="shared" si="5"/>
        <v>19</v>
      </c>
      <c r="B126" s="337" t="s">
        <v>824</v>
      </c>
      <c r="C126" s="48"/>
      <c r="E126" s="339" t="s">
        <v>1106</v>
      </c>
      <c r="F126" s="48"/>
      <c r="I126" s="30">
        <f t="shared" si="6"/>
        <v>19</v>
      </c>
      <c r="K126" s="18"/>
      <c r="L126" s="18"/>
      <c r="M126" s="18"/>
      <c r="N126" s="18"/>
      <c r="O126" s="48"/>
      <c r="Z126" s="64"/>
      <c r="AA126" s="9"/>
      <c r="AB126" s="9"/>
      <c r="AC126" s="9"/>
    </row>
    <row r="127" spans="1:29" ht="39">
      <c r="A127" s="18">
        <f t="shared" si="5"/>
        <v>20</v>
      </c>
      <c r="B127" s="337" t="s">
        <v>825</v>
      </c>
      <c r="C127" s="48"/>
      <c r="E127" s="338" t="s">
        <v>857</v>
      </c>
      <c r="F127" s="48"/>
      <c r="I127" s="30">
        <f t="shared" si="6"/>
        <v>20</v>
      </c>
      <c r="K127" s="18"/>
      <c r="L127" s="18"/>
      <c r="M127" s="18"/>
      <c r="N127" s="18"/>
      <c r="O127" s="48"/>
      <c r="Z127" s="64"/>
      <c r="AA127" s="9"/>
      <c r="AB127" s="9"/>
      <c r="AC127" s="9"/>
    </row>
    <row r="128" spans="1:29" ht="45">
      <c r="A128" s="18">
        <f t="shared" si="5"/>
        <v>21</v>
      </c>
      <c r="B128" s="339" t="s">
        <v>1107</v>
      </c>
      <c r="C128" s="48" t="str">
        <f>CONCATENATE("Hints: ", R128)</f>
        <v>Hints: *Not just for phone or tablet</v>
      </c>
      <c r="D128" s="339"/>
      <c r="E128" s="339" t="s">
        <v>1108</v>
      </c>
      <c r="F128" s="48" t="str">
        <f>CONCATENATE("Hints: ",Q128, )</f>
        <v>Hints: * ليس فقط للهاتف أو الكمبيوتر اللوحي</v>
      </c>
      <c r="I128" s="30">
        <f t="shared" si="6"/>
        <v>21</v>
      </c>
      <c r="K128" s="18"/>
      <c r="L128" s="18"/>
      <c r="M128" s="18"/>
      <c r="N128" s="18"/>
      <c r="O128" s="48"/>
      <c r="Q128" s="70" t="s">
        <v>270</v>
      </c>
      <c r="R128" s="30" t="s">
        <v>46</v>
      </c>
      <c r="Z128" s="64"/>
      <c r="AA128" s="9"/>
      <c r="AB128" s="9"/>
      <c r="AC128" s="9"/>
    </row>
    <row r="129" spans="1:29" ht="15">
      <c r="A129" s="18">
        <f t="shared" si="5"/>
        <v>22</v>
      </c>
      <c r="B129" s="337" t="s">
        <v>826</v>
      </c>
      <c r="C129" s="337"/>
      <c r="E129" s="338" t="s">
        <v>858</v>
      </c>
      <c r="F129" s="338"/>
      <c r="I129" s="30">
        <f t="shared" si="6"/>
        <v>22</v>
      </c>
      <c r="K129" s="18"/>
      <c r="L129" s="18"/>
      <c r="M129" s="18"/>
      <c r="N129" s="18"/>
      <c r="O129" s="48"/>
      <c r="Q129" s="30"/>
      <c r="Z129" s="64"/>
      <c r="AA129" s="9"/>
      <c r="AB129" s="9"/>
      <c r="AC129" s="9"/>
    </row>
    <row r="130" spans="1:29" ht="26.25">
      <c r="A130" s="18">
        <f t="shared" si="5"/>
        <v>23</v>
      </c>
      <c r="B130" s="337" t="s">
        <v>827</v>
      </c>
      <c r="C130" s="337"/>
      <c r="E130" s="340" t="s">
        <v>1109</v>
      </c>
      <c r="F130" s="340"/>
      <c r="I130" s="30">
        <f t="shared" si="6"/>
        <v>23</v>
      </c>
      <c r="K130" s="18"/>
      <c r="L130" s="18"/>
      <c r="M130" s="18"/>
      <c r="N130" s="18"/>
      <c r="O130" s="48"/>
      <c r="Q130" s="30"/>
      <c r="Z130" s="64"/>
      <c r="AA130" s="9"/>
      <c r="AB130" s="9"/>
      <c r="AC130" s="9"/>
    </row>
    <row r="131" spans="1:29" ht="15">
      <c r="A131" s="18">
        <f t="shared" si="5"/>
        <v>24</v>
      </c>
      <c r="B131" s="337" t="s">
        <v>828</v>
      </c>
      <c r="C131" s="337"/>
      <c r="E131" s="338" t="s">
        <v>859</v>
      </c>
      <c r="F131" s="338"/>
      <c r="I131" s="30">
        <f t="shared" si="6"/>
        <v>24</v>
      </c>
      <c r="K131" s="18"/>
      <c r="L131" s="18"/>
      <c r="M131" s="18"/>
      <c r="N131" s="18"/>
      <c r="O131" s="48"/>
      <c r="Q131" s="30"/>
      <c r="Z131" s="64"/>
      <c r="AA131" s="9"/>
      <c r="AB131" s="9"/>
      <c r="AC131" s="9"/>
    </row>
    <row r="132" spans="1:29" ht="15">
      <c r="A132" s="18">
        <f t="shared" si="5"/>
        <v>25</v>
      </c>
      <c r="B132" s="337" t="s">
        <v>829</v>
      </c>
      <c r="C132" s="337"/>
      <c r="E132" s="338" t="s">
        <v>860</v>
      </c>
      <c r="F132" s="338"/>
      <c r="I132" s="30">
        <f t="shared" si="6"/>
        <v>25</v>
      </c>
      <c r="K132" s="18"/>
      <c r="L132" s="18"/>
      <c r="M132" s="18"/>
      <c r="N132" s="18"/>
      <c r="O132" s="48"/>
      <c r="Q132" s="30"/>
      <c r="Z132" s="64"/>
      <c r="AA132" s="9"/>
      <c r="AB132" s="9"/>
      <c r="AC132" s="9"/>
    </row>
    <row r="133" spans="1:29" ht="30">
      <c r="A133" s="18">
        <f t="shared" si="5"/>
        <v>26</v>
      </c>
      <c r="B133" s="337" t="s">
        <v>830</v>
      </c>
      <c r="C133" s="337"/>
      <c r="E133" s="127" t="s">
        <v>861</v>
      </c>
      <c r="F133" s="127"/>
      <c r="I133" s="30">
        <f t="shared" si="6"/>
        <v>26</v>
      </c>
      <c r="K133" s="18"/>
      <c r="L133" s="18"/>
      <c r="M133" s="18"/>
      <c r="N133" s="18"/>
      <c r="O133" s="48"/>
      <c r="Q133" s="30"/>
      <c r="Z133" s="64"/>
      <c r="AA133" s="9"/>
      <c r="AB133" s="9"/>
      <c r="AC133" s="9"/>
    </row>
    <row r="134" spans="1:29" ht="15">
      <c r="A134" s="18">
        <f t="shared" si="5"/>
        <v>27</v>
      </c>
      <c r="B134" s="337" t="s">
        <v>831</v>
      </c>
      <c r="C134" s="48"/>
      <c r="E134" s="339" t="s">
        <v>1110</v>
      </c>
      <c r="F134" s="48"/>
      <c r="I134" s="30">
        <f t="shared" si="6"/>
        <v>27</v>
      </c>
      <c r="K134" s="18"/>
      <c r="L134" s="18"/>
      <c r="M134" s="18"/>
      <c r="N134" s="18"/>
      <c r="O134" s="48"/>
      <c r="Z134" s="64"/>
      <c r="AA134" s="9"/>
      <c r="AB134" s="9"/>
      <c r="AC134" s="9"/>
    </row>
    <row r="135" spans="1:29" ht="26.25">
      <c r="A135" s="18">
        <f t="shared" si="5"/>
        <v>28</v>
      </c>
      <c r="B135" s="337" t="s">
        <v>832</v>
      </c>
      <c r="C135" s="337"/>
      <c r="E135" s="339" t="s">
        <v>862</v>
      </c>
      <c r="F135" s="339"/>
      <c r="I135" s="30">
        <f t="shared" si="6"/>
        <v>28</v>
      </c>
      <c r="K135" s="18"/>
      <c r="L135" s="18"/>
      <c r="M135" s="18"/>
      <c r="N135" s="18"/>
      <c r="O135" s="48"/>
      <c r="Q135" s="30"/>
      <c r="Z135" s="64"/>
      <c r="AA135" s="9"/>
      <c r="AB135" s="9"/>
      <c r="AC135" s="9"/>
    </row>
    <row r="136" spans="1:29" s="45" customFormat="1" ht="39">
      <c r="A136" s="18">
        <f t="shared" si="5"/>
        <v>29</v>
      </c>
      <c r="B136" s="339" t="s">
        <v>833</v>
      </c>
      <c r="C136" s="339"/>
      <c r="D136" s="117"/>
      <c r="E136" s="339" t="s">
        <v>1111</v>
      </c>
      <c r="F136" s="339"/>
      <c r="G136" s="132"/>
      <c r="H136" s="132"/>
      <c r="I136" s="117">
        <f t="shared" si="6"/>
        <v>29</v>
      </c>
      <c r="J136" s="54"/>
      <c r="K136" s="54"/>
      <c r="L136" s="54"/>
      <c r="M136" s="54"/>
      <c r="N136" s="54"/>
      <c r="O136" s="48"/>
      <c r="P136" s="117"/>
      <c r="Q136" s="70"/>
      <c r="R136" s="30"/>
      <c r="S136" s="117"/>
      <c r="T136" s="117"/>
      <c r="U136" s="117"/>
      <c r="V136" s="117"/>
      <c r="Z136" s="64"/>
    </row>
    <row r="137" spans="1:29" ht="45">
      <c r="A137" s="18">
        <f t="shared" si="5"/>
        <v>30</v>
      </c>
      <c r="B137" s="339" t="s">
        <v>834</v>
      </c>
      <c r="C137" s="48" t="str">
        <f>CONCATENATE("Hints: ", R137)</f>
        <v>Hints: *Other than what's on your phone</v>
      </c>
      <c r="E137" s="341" t="s">
        <v>863</v>
      </c>
      <c r="F137" s="48" t="str">
        <f>CONCATENATE("Hints: ",Q137, )</f>
        <v>Hints: * بخلاف ما على هاتفك</v>
      </c>
      <c r="I137" s="30">
        <f t="shared" si="6"/>
        <v>30</v>
      </c>
      <c r="K137" s="18"/>
      <c r="L137" s="18"/>
      <c r="M137" s="18"/>
      <c r="N137" s="18"/>
      <c r="O137" s="48"/>
      <c r="Q137" s="70" t="s">
        <v>271</v>
      </c>
      <c r="R137" s="30" t="s">
        <v>43</v>
      </c>
      <c r="Z137" s="64"/>
      <c r="AA137" s="9"/>
      <c r="AB137" s="9"/>
      <c r="AC137" s="9"/>
    </row>
    <row r="138" spans="1:29" ht="15">
      <c r="A138" s="18">
        <f t="shared" si="5"/>
        <v>31</v>
      </c>
      <c r="B138" s="337" t="s">
        <v>835</v>
      </c>
      <c r="C138" s="337"/>
      <c r="E138" s="339" t="s">
        <v>864</v>
      </c>
      <c r="F138" s="339"/>
      <c r="I138" s="30">
        <f t="shared" si="6"/>
        <v>31</v>
      </c>
      <c r="K138" s="18"/>
      <c r="L138" s="18"/>
      <c r="M138" s="18"/>
      <c r="N138" s="18"/>
      <c r="O138" s="48"/>
      <c r="Q138" s="30"/>
      <c r="Z138" s="64"/>
      <c r="AA138" s="9"/>
      <c r="AB138" s="9"/>
      <c r="AC138" s="9"/>
    </row>
    <row r="139" spans="1:29" ht="26.25">
      <c r="A139" s="18">
        <f t="shared" si="5"/>
        <v>32</v>
      </c>
      <c r="B139" s="337" t="s">
        <v>836</v>
      </c>
      <c r="C139" s="337"/>
      <c r="E139" s="338" t="s">
        <v>865</v>
      </c>
      <c r="F139" s="338"/>
      <c r="I139" s="30">
        <f t="shared" si="6"/>
        <v>32</v>
      </c>
      <c r="K139" s="18"/>
      <c r="L139" s="18"/>
      <c r="M139" s="18"/>
      <c r="N139" s="18"/>
      <c r="O139" s="48"/>
      <c r="Q139" s="30"/>
      <c r="Z139" s="64"/>
      <c r="AA139" s="9"/>
      <c r="AB139" s="9"/>
      <c r="AC139" s="9"/>
    </row>
    <row r="140" spans="1:29" ht="26.25">
      <c r="A140" s="18">
        <f t="shared" si="5"/>
        <v>33</v>
      </c>
      <c r="B140" s="337" t="s">
        <v>837</v>
      </c>
      <c r="C140" s="337"/>
      <c r="E140" s="338" t="s">
        <v>866</v>
      </c>
      <c r="F140" s="338"/>
      <c r="I140" s="30">
        <f t="shared" si="6"/>
        <v>33</v>
      </c>
      <c r="K140" s="18"/>
      <c r="L140" s="18"/>
      <c r="M140" s="18"/>
      <c r="N140" s="18"/>
      <c r="O140" s="48"/>
      <c r="Q140" s="30"/>
      <c r="Z140" s="64"/>
      <c r="AA140" s="9"/>
      <c r="AB140" s="9"/>
      <c r="AC140" s="9"/>
    </row>
    <row r="141" spans="1:29" s="45" customFormat="1" ht="26.25">
      <c r="A141" s="18">
        <f t="shared" si="5"/>
        <v>34</v>
      </c>
      <c r="B141" s="337" t="s">
        <v>838</v>
      </c>
      <c r="C141" s="337"/>
      <c r="D141" s="117"/>
      <c r="E141" s="338" t="s">
        <v>867</v>
      </c>
      <c r="F141" s="338"/>
      <c r="G141" s="132"/>
      <c r="H141" s="132"/>
      <c r="I141" s="117">
        <f t="shared" si="6"/>
        <v>34</v>
      </c>
      <c r="J141" s="54"/>
      <c r="K141" s="54"/>
      <c r="L141" s="54"/>
      <c r="M141" s="54"/>
      <c r="N141" s="54"/>
      <c r="O141" s="48"/>
      <c r="P141" s="117"/>
      <c r="Q141" s="117"/>
      <c r="R141" s="117"/>
      <c r="S141" s="117"/>
      <c r="T141" s="117"/>
      <c r="U141" s="117"/>
      <c r="V141" s="117"/>
      <c r="Z141" s="64"/>
    </row>
    <row r="142" spans="1:29" ht="26.25">
      <c r="A142" s="18">
        <f t="shared" si="5"/>
        <v>35</v>
      </c>
      <c r="B142" s="337" t="s">
        <v>839</v>
      </c>
      <c r="C142" s="337"/>
      <c r="E142" s="338" t="s">
        <v>868</v>
      </c>
      <c r="F142" s="338"/>
      <c r="I142" s="117">
        <f t="shared" si="6"/>
        <v>35</v>
      </c>
      <c r="K142" s="18"/>
      <c r="L142" s="18"/>
      <c r="M142" s="18"/>
      <c r="N142" s="18"/>
      <c r="Q142" s="30"/>
      <c r="Z142" s="64"/>
      <c r="AA142" s="9"/>
      <c r="AB142" s="9"/>
      <c r="AC142" s="9"/>
    </row>
    <row r="143" spans="1:29" ht="26.25">
      <c r="A143" s="18">
        <f t="shared" si="5"/>
        <v>36</v>
      </c>
      <c r="B143" s="338" t="s">
        <v>840</v>
      </c>
      <c r="C143" s="338"/>
      <c r="E143" s="338" t="s">
        <v>869</v>
      </c>
      <c r="F143" s="338"/>
      <c r="I143" s="117">
        <f t="shared" si="6"/>
        <v>36</v>
      </c>
      <c r="K143" s="18"/>
      <c r="L143" s="18"/>
      <c r="M143" s="18"/>
      <c r="N143" s="18"/>
      <c r="Q143" s="30"/>
      <c r="Z143" s="64"/>
      <c r="AA143" s="9"/>
      <c r="AB143" s="9"/>
      <c r="AC143" s="9"/>
    </row>
    <row r="144" spans="1:29" ht="15">
      <c r="A144" s="18">
        <f t="shared" si="5"/>
        <v>37</v>
      </c>
      <c r="B144" s="338" t="s">
        <v>841</v>
      </c>
      <c r="C144" s="338"/>
      <c r="E144" s="338" t="s">
        <v>870</v>
      </c>
      <c r="F144" s="338"/>
      <c r="I144" s="117">
        <f t="shared" si="6"/>
        <v>37</v>
      </c>
      <c r="K144" s="18"/>
      <c r="L144" s="18"/>
      <c r="M144" s="18"/>
      <c r="N144" s="18"/>
      <c r="Q144" s="30"/>
      <c r="Z144" s="64"/>
      <c r="AA144" s="9"/>
      <c r="AB144" s="9"/>
      <c r="AC144" s="9"/>
    </row>
    <row r="145" spans="1:29" ht="15">
      <c r="A145" s="18">
        <f t="shared" si="5"/>
        <v>38</v>
      </c>
      <c r="B145" s="338" t="s">
        <v>842</v>
      </c>
      <c r="C145" s="338"/>
      <c r="E145" s="338" t="s">
        <v>871</v>
      </c>
      <c r="F145" s="338"/>
      <c r="I145" s="117">
        <f t="shared" si="6"/>
        <v>38</v>
      </c>
      <c r="K145" s="18"/>
      <c r="L145" s="18"/>
      <c r="M145" s="18"/>
      <c r="N145" s="18"/>
      <c r="Q145" s="30"/>
      <c r="Z145" s="64"/>
      <c r="AA145" s="9"/>
      <c r="AB145" s="9"/>
      <c r="AC145" s="9"/>
    </row>
    <row r="146" spans="1:29" ht="30">
      <c r="A146" s="18">
        <f t="shared" si="5"/>
        <v>39</v>
      </c>
      <c r="B146" s="132" t="s">
        <v>843</v>
      </c>
      <c r="C146" s="132"/>
      <c r="E146" s="127" t="s">
        <v>872</v>
      </c>
      <c r="F146" s="127"/>
      <c r="I146" s="117">
        <f t="shared" si="6"/>
        <v>39</v>
      </c>
      <c r="K146" s="18"/>
      <c r="L146" s="18"/>
      <c r="M146" s="18"/>
      <c r="N146" s="18"/>
      <c r="Q146" s="30"/>
      <c r="Z146" s="64"/>
      <c r="AA146" s="9"/>
      <c r="AB146" s="9"/>
      <c r="AC146" s="9"/>
    </row>
    <row r="147" spans="1:29" ht="15">
      <c r="A147" s="18">
        <f t="shared" si="5"/>
        <v>40</v>
      </c>
      <c r="B147" s="339" t="s">
        <v>1112</v>
      </c>
      <c r="C147" s="339"/>
      <c r="E147" s="342" t="s">
        <v>1117</v>
      </c>
      <c r="F147" s="342"/>
      <c r="I147" s="117">
        <f t="shared" si="6"/>
        <v>40</v>
      </c>
      <c r="K147" s="18"/>
      <c r="L147" s="18"/>
      <c r="M147" s="18"/>
      <c r="N147" s="18"/>
      <c r="Q147" s="30"/>
      <c r="Z147" s="64"/>
      <c r="AA147" s="9"/>
      <c r="AB147" s="9"/>
      <c r="AC147" s="9"/>
    </row>
    <row r="148" spans="1:29" ht="15">
      <c r="A148" s="18">
        <f t="shared" si="5"/>
        <v>41</v>
      </c>
      <c r="B148" s="339" t="s">
        <v>1113</v>
      </c>
      <c r="C148" s="339"/>
      <c r="E148" s="342" t="s">
        <v>1118</v>
      </c>
      <c r="F148" s="342"/>
      <c r="I148" s="117">
        <f t="shared" si="6"/>
        <v>41</v>
      </c>
      <c r="K148" s="18"/>
      <c r="L148" s="18"/>
      <c r="M148" s="18"/>
      <c r="N148" s="18"/>
      <c r="Q148" s="30"/>
      <c r="Z148" s="64"/>
      <c r="AA148" s="9"/>
      <c r="AB148" s="9"/>
      <c r="AC148" s="9"/>
    </row>
    <row r="149" spans="1:29" ht="15">
      <c r="A149" s="18">
        <f t="shared" si="5"/>
        <v>42</v>
      </c>
      <c r="B149" s="339" t="s">
        <v>1114</v>
      </c>
      <c r="C149" s="339"/>
      <c r="E149" s="342" t="s">
        <v>1119</v>
      </c>
      <c r="F149" s="342"/>
      <c r="I149" s="117">
        <f t="shared" si="6"/>
        <v>42</v>
      </c>
      <c r="K149" s="18"/>
      <c r="L149" s="18"/>
      <c r="M149" s="18"/>
      <c r="N149" s="18"/>
      <c r="Q149" s="30"/>
      <c r="Z149" s="64"/>
      <c r="AA149" s="9"/>
      <c r="AB149" s="9"/>
      <c r="AC149" s="9"/>
    </row>
    <row r="150" spans="1:29" ht="26.25">
      <c r="A150" s="18">
        <f t="shared" si="5"/>
        <v>43</v>
      </c>
      <c r="B150" s="339" t="s">
        <v>1115</v>
      </c>
      <c r="C150" s="339"/>
      <c r="E150" s="342" t="s">
        <v>1120</v>
      </c>
      <c r="F150" s="342"/>
      <c r="I150" s="117">
        <f t="shared" si="6"/>
        <v>43</v>
      </c>
      <c r="K150" s="18"/>
      <c r="L150" s="18"/>
      <c r="M150" s="18"/>
      <c r="N150" s="18"/>
      <c r="Q150" s="30"/>
      <c r="Z150" s="64"/>
      <c r="AA150" s="9"/>
      <c r="AB150" s="9"/>
      <c r="AC150" s="9"/>
    </row>
    <row r="151" spans="1:29" ht="15">
      <c r="A151" s="18">
        <f t="shared" si="5"/>
        <v>44</v>
      </c>
      <c r="B151" s="339" t="s">
        <v>1116</v>
      </c>
      <c r="C151" s="339"/>
      <c r="E151" s="342" t="s">
        <v>1121</v>
      </c>
      <c r="F151" s="342"/>
      <c r="I151" s="117">
        <f t="shared" si="6"/>
        <v>44</v>
      </c>
      <c r="K151" s="18"/>
      <c r="L151" s="18"/>
      <c r="M151" s="18"/>
      <c r="N151" s="18"/>
      <c r="Q151" s="30"/>
      <c r="Z151" s="64"/>
      <c r="AA151" s="9"/>
      <c r="AB151" s="9"/>
      <c r="AC151" s="9"/>
    </row>
    <row r="152" spans="1:29" ht="15">
      <c r="E152" s="310"/>
      <c r="F152" s="310"/>
      <c r="K152" s="18"/>
      <c r="L152" s="18"/>
      <c r="M152" s="18"/>
      <c r="N152" s="18"/>
      <c r="Q152" s="30"/>
      <c r="Z152" s="64"/>
      <c r="AA152" s="9"/>
      <c r="AB152" s="9"/>
      <c r="AC152" s="9"/>
    </row>
    <row r="153" spans="1:29" ht="30">
      <c r="D153" s="131"/>
      <c r="E153" s="325"/>
      <c r="F153" s="325"/>
      <c r="K153" s="18"/>
      <c r="L153" s="21" t="s">
        <v>170</v>
      </c>
      <c r="M153" s="21" t="s">
        <v>140</v>
      </c>
      <c r="N153" s="21" t="str">
        <f t="shared" ref="N153:N163" si="8">CONCATENATE($N$105, "_",$I108)</f>
        <v>q419_1</v>
      </c>
      <c r="O153" s="70" t="str">
        <f>CONCATENATE(N153, ". ", SUBSTITUTE($E$107, "[بند]",$E$108))</f>
        <v>q419_1. ثلاجة؟</v>
      </c>
      <c r="P153" s="85" t="str">
        <f>CONCATENATE(N153, ". ", SUBSTITUTE($B$107, "[item]",$B$108))</f>
        <v>q419_1. fridge?</v>
      </c>
      <c r="Q153" s="363"/>
      <c r="R153" s="363"/>
      <c r="S153" s="30" t="str">
        <f t="shared" ref="S153:S163" si="9">CONCATENATE("data('valid_overall') == 1")</f>
        <v>data('valid_overall') == 1</v>
      </c>
      <c r="Y153" s="9" t="b">
        <v>1</v>
      </c>
      <c r="Z153" s="64"/>
      <c r="AA153" s="9"/>
      <c r="AB153" s="9"/>
      <c r="AC153" s="9"/>
    </row>
    <row r="154" spans="1:29" ht="30">
      <c r="E154" s="310"/>
      <c r="F154" s="310"/>
      <c r="K154" s="18"/>
      <c r="L154" s="21" t="s">
        <v>170</v>
      </c>
      <c r="M154" s="21" t="s">
        <v>140</v>
      </c>
      <c r="N154" s="21" t="str">
        <f t="shared" si="8"/>
        <v>q419_2</v>
      </c>
      <c r="O154" s="70" t="str">
        <f>CONCATENATE(N154, ". ", SUBSTITUTE($E$107, "[بند]",$E$109))</f>
        <v>q419_2. ديب فريزر؟</v>
      </c>
      <c r="P154" s="85" t="str">
        <f>CONCATENATE(N154, ". ", SUBSTITUTE($B$107, "[item]",$B$109))</f>
        <v>q419_2. freezer?</v>
      </c>
      <c r="Q154" s="363"/>
      <c r="R154" s="363"/>
      <c r="S154" s="30" t="str">
        <f t="shared" si="9"/>
        <v>data('valid_overall') == 1</v>
      </c>
      <c r="Y154" s="9" t="b">
        <v>1</v>
      </c>
      <c r="Z154" s="30"/>
      <c r="AA154" s="9"/>
      <c r="AB154" s="9"/>
      <c r="AC154"/>
    </row>
    <row r="155" spans="1:29" ht="30">
      <c r="E155" s="310"/>
      <c r="F155" s="310"/>
      <c r="K155" s="18"/>
      <c r="L155" s="21" t="s">
        <v>170</v>
      </c>
      <c r="M155" s="21" t="s">
        <v>140</v>
      </c>
      <c r="N155" s="21" t="str">
        <f t="shared" si="8"/>
        <v>q419_3</v>
      </c>
      <c r="O155" s="70" t="str">
        <f>CONCATENATE(N155, ". ", SUBSTITUTE($E$107, "[بند]",$E$110))</f>
        <v>q419_3. غسالة أطباق؟</v>
      </c>
      <c r="P155" s="85" t="str">
        <f>CONCATENATE(N155, ". ", SUBSTITUTE($B$107, "[item]",$B$110))</f>
        <v>q419_3. dishwasher?</v>
      </c>
      <c r="Q155" s="363"/>
      <c r="R155" s="363"/>
      <c r="S155" s="30" t="str">
        <f t="shared" si="9"/>
        <v>data('valid_overall') == 1</v>
      </c>
      <c r="Y155" s="9" t="b">
        <v>1</v>
      </c>
      <c r="AA155" s="9"/>
      <c r="AB155" s="9"/>
      <c r="AC155"/>
    </row>
    <row r="156" spans="1:29" ht="30">
      <c r="E156" s="310"/>
      <c r="F156" s="310"/>
      <c r="K156" s="18"/>
      <c r="L156" s="21" t="s">
        <v>170</v>
      </c>
      <c r="M156" s="21" t="s">
        <v>140</v>
      </c>
      <c r="N156" s="21" t="str">
        <f t="shared" si="8"/>
        <v>q419_4</v>
      </c>
      <c r="O156" s="70" t="str">
        <f>CONCATENATE(N156, ". ", SUBSTITUTE($E$107, "[بند]",$E$111))</f>
        <v>q419_4. تلفزيون ملون؟</v>
      </c>
      <c r="P156" s="85" t="str">
        <f>CONCATENATE(N156, ". ", SUBSTITUTE($B$107, "[item]",$B$111))</f>
        <v>q419_4. coloured TV?</v>
      </c>
      <c r="Q156" s="363" t="str">
        <f t="shared" ref="Q156:R156" si="10">Q111</f>
        <v xml:space="preserve">* ليس شاشة مسطحة
</v>
      </c>
      <c r="R156" s="363" t="str">
        <f t="shared" si="10"/>
        <v>*Not a flat screen</v>
      </c>
      <c r="S156" s="30" t="str">
        <f t="shared" si="9"/>
        <v>data('valid_overall') == 1</v>
      </c>
      <c r="Y156" s="9" t="b">
        <v>1</v>
      </c>
      <c r="AA156" s="9"/>
      <c r="AB156" s="9"/>
      <c r="AC156"/>
    </row>
    <row r="157" spans="1:29" ht="30">
      <c r="E157" s="310"/>
      <c r="F157" s="310"/>
      <c r="K157" s="18"/>
      <c r="L157" s="21" t="s">
        <v>170</v>
      </c>
      <c r="M157" s="21" t="s">
        <v>140</v>
      </c>
      <c r="N157" s="21" t="str">
        <f t="shared" si="8"/>
        <v>q419_5</v>
      </c>
      <c r="O157" s="70" t="str">
        <f>CONCATENATE(N157, ". ", SUBSTITUTE($E$107, "[بند]",$E$112))</f>
        <v>q419_5. تلفزيون ابيض واسود؟</v>
      </c>
      <c r="P157" s="85" t="str">
        <f>CONCATENATE(N157, ". ", SUBSTITUTE($B$107, "[item]",$B$112))</f>
        <v>q419_5. B&amp;W TV?</v>
      </c>
      <c r="Q157"/>
      <c r="R157"/>
      <c r="S157" s="30" t="str">
        <f t="shared" si="9"/>
        <v>data('valid_overall') == 1</v>
      </c>
      <c r="Y157" s="9" t="b">
        <v>1</v>
      </c>
      <c r="AA157" s="9"/>
      <c r="AB157" s="9"/>
      <c r="AC157"/>
    </row>
    <row r="158" spans="1:29" ht="30">
      <c r="E158" s="310"/>
      <c r="F158" s="310"/>
      <c r="K158" s="18"/>
      <c r="L158" s="21" t="s">
        <v>170</v>
      </c>
      <c r="M158" s="21" t="s">
        <v>140</v>
      </c>
      <c r="N158" s="21" t="str">
        <f t="shared" si="8"/>
        <v>q419_6</v>
      </c>
      <c r="O158" s="70" t="str">
        <f>CONCATENATE(N158, ". ", SUBSTITUTE($E$107, "[بند]",$E$113))</f>
        <v>q419_6. تليفزيون مسطح؟</v>
      </c>
      <c r="P158" s="85" t="str">
        <f>CONCATENATE(N158, ". ", SUBSTITUTE($B$107, "[item]",$B$113))</f>
        <v>q419_6. Flat TV?</v>
      </c>
      <c r="Q158"/>
      <c r="R158"/>
      <c r="S158" s="30" t="str">
        <f t="shared" si="9"/>
        <v>data('valid_overall') == 1</v>
      </c>
      <c r="Y158" s="9" t="b">
        <v>1</v>
      </c>
      <c r="AA158" s="9"/>
      <c r="AB158" s="9"/>
      <c r="AC158"/>
    </row>
    <row r="159" spans="1:29" ht="30">
      <c r="E159" s="310"/>
      <c r="F159" s="310"/>
      <c r="K159" s="18"/>
      <c r="L159" s="21" t="s">
        <v>170</v>
      </c>
      <c r="M159" s="21" t="s">
        <v>140</v>
      </c>
      <c r="N159" s="21" t="str">
        <f t="shared" si="8"/>
        <v>q419_7</v>
      </c>
      <c r="O159" s="70" t="str">
        <f>CONCATENATE(N159, ". ", SUBSTITUTE($E$107, "[بند]",$E$114))</f>
        <v>q419_7.  جهاز فيديو- مشغل DVD -أجهزة عرض بث مباشر؟</v>
      </c>
      <c r="P159" s="85" t="str">
        <f>CONCATENATE(N159, ". ", SUBSTITUTE($B$107, "[item]",$B$114))</f>
        <v>q419_7. VCR / DVD / Streaming box?</v>
      </c>
      <c r="Q159"/>
      <c r="R159"/>
      <c r="S159" s="30" t="str">
        <f t="shared" si="9"/>
        <v>data('valid_overall') == 1</v>
      </c>
      <c r="Y159" s="9" t="b">
        <v>1</v>
      </c>
      <c r="AA159" s="9"/>
      <c r="AB159" s="9"/>
      <c r="AC159"/>
    </row>
    <row r="160" spans="1:29" ht="30">
      <c r="E160" s="310"/>
      <c r="F160" s="310"/>
      <c r="K160" s="18"/>
      <c r="L160" s="21" t="s">
        <v>170</v>
      </c>
      <c r="M160" s="21" t="s">
        <v>140</v>
      </c>
      <c r="N160" s="21" t="str">
        <f t="shared" si="8"/>
        <v>q419_8</v>
      </c>
      <c r="O160" s="70" t="str">
        <f>CONCATENATE(N160, ". ", SUBSTITUTE($E$107, "[بند]",$E$115))</f>
        <v>q419_8. جهاز تكييف؟</v>
      </c>
      <c r="P160" s="85" t="str">
        <f>CONCATENATE(N160, ". ", SUBSTITUTE($B$107, "[item]",$B$115))</f>
        <v>q419_8. air conditioner?</v>
      </c>
      <c r="Q160"/>
      <c r="R160"/>
      <c r="S160" s="30" t="str">
        <f t="shared" si="9"/>
        <v>data('valid_overall') == 1</v>
      </c>
      <c r="Y160" s="9" t="b">
        <v>1</v>
      </c>
      <c r="AA160" s="9"/>
      <c r="AB160" s="9"/>
      <c r="AC160"/>
    </row>
    <row r="161" spans="1:29" ht="30">
      <c r="E161" s="310"/>
      <c r="F161" s="310"/>
      <c r="K161" s="18"/>
      <c r="L161" s="21" t="s">
        <v>170</v>
      </c>
      <c r="M161" s="21" t="s">
        <v>140</v>
      </c>
      <c r="N161" s="21" t="str">
        <f t="shared" si="8"/>
        <v>q419_9</v>
      </c>
      <c r="O161" s="70" t="str">
        <f>CONCATENATE(N161, ". ", SUBSTITUTE($E$107, "[بند]",$E$116))</f>
        <v>q419_9. فرن ميكروويف؟</v>
      </c>
      <c r="P161" s="85" t="str">
        <f>CONCATENATE(N161, ". ", SUBSTITUTE($B$107, "[item]",$B$116))</f>
        <v>q419_9. microwave oven?</v>
      </c>
      <c r="Q161"/>
      <c r="R161"/>
      <c r="S161" s="30" t="str">
        <f t="shared" si="9"/>
        <v>data('valid_overall') == 1</v>
      </c>
      <c r="Y161" s="9" t="b">
        <v>1</v>
      </c>
      <c r="AA161" s="9"/>
      <c r="AB161" s="9"/>
      <c r="AC161"/>
    </row>
    <row r="162" spans="1:29" ht="30">
      <c r="E162" s="310"/>
      <c r="F162" s="310"/>
      <c r="K162" s="18"/>
      <c r="L162" s="21" t="s">
        <v>170</v>
      </c>
      <c r="M162" s="21" t="s">
        <v>140</v>
      </c>
      <c r="N162" s="21" t="str">
        <f t="shared" si="8"/>
        <v>q419_10</v>
      </c>
      <c r="O162" s="70" t="str">
        <f>CONCATENATE(N162, ". ", SUBSTITUTE($E$107, "[بند]",$E$117))</f>
        <v>q419_10. موقد طبخ (بوتجاز/كهرباء/غاز)؟</v>
      </c>
      <c r="P162" s="85" t="str">
        <f>CONCATENATE(N162, ". ", SUBSTITUTE($B$107, "[item]",$B$117))</f>
        <v>q419_10. cooker/stove?</v>
      </c>
      <c r="Q162"/>
      <c r="R162"/>
      <c r="S162" s="30" t="str">
        <f t="shared" si="9"/>
        <v>data('valid_overall') == 1</v>
      </c>
      <c r="Y162" s="9" t="b">
        <v>1</v>
      </c>
      <c r="AA162" s="9"/>
      <c r="AB162" s="9"/>
      <c r="AC162"/>
    </row>
    <row r="163" spans="1:29" ht="30">
      <c r="E163" s="310"/>
      <c r="F163" s="310"/>
      <c r="K163" s="18"/>
      <c r="L163" s="21" t="s">
        <v>170</v>
      </c>
      <c r="M163" s="21" t="s">
        <v>140</v>
      </c>
      <c r="N163" s="21" t="str">
        <f t="shared" si="8"/>
        <v>q419_11</v>
      </c>
      <c r="O163" s="70" t="str">
        <f>CONCATENATE(N163, ". ", SUBSTITUTE($E$107, "[بند]",$E$118))</f>
        <v>q419_11. وابور جاز/بوتجاز صغير/عين؟</v>
      </c>
      <c r="P163" s="85" t="str">
        <f>CONCATENATE(N163, ". ", SUBSTITUTE($B$107, "[item]",$B$118))</f>
        <v>q419_11. kerosene cooker (Babour gas)?</v>
      </c>
      <c r="Q163"/>
      <c r="R163"/>
      <c r="S163" s="30" t="str">
        <f t="shared" si="9"/>
        <v>data('valid_overall') == 1</v>
      </c>
      <c r="Y163" s="9" t="b">
        <v>1</v>
      </c>
      <c r="AA163" s="9"/>
      <c r="AB163" s="9"/>
      <c r="AC163"/>
    </row>
    <row r="164" spans="1:29" ht="15">
      <c r="E164" s="310"/>
      <c r="F164" s="310"/>
      <c r="J164" s="18" t="s">
        <v>21</v>
      </c>
      <c r="K164" s="18"/>
      <c r="P164" s="85"/>
      <c r="Q164"/>
      <c r="R164"/>
      <c r="AA164" s="9"/>
      <c r="AB164" s="9"/>
      <c r="AC164"/>
    </row>
    <row r="165" spans="1:29" ht="15">
      <c r="E165" s="310"/>
      <c r="F165" s="310"/>
      <c r="J165" s="18" t="s">
        <v>20</v>
      </c>
      <c r="K165" s="18"/>
      <c r="P165" s="85"/>
      <c r="Q165"/>
      <c r="R165"/>
      <c r="AA165" s="9"/>
      <c r="AB165" s="9"/>
      <c r="AC165"/>
    </row>
    <row r="166" spans="1:29" ht="75">
      <c r="A166" s="18" t="str">
        <f t="shared" ref="A166" si="11">N166</f>
        <v>q419</v>
      </c>
      <c r="B166" s="67" t="s">
        <v>344</v>
      </c>
      <c r="C166" s="67"/>
      <c r="E166" s="310" t="s">
        <v>1101</v>
      </c>
      <c r="F166" s="310"/>
      <c r="I166" s="30">
        <f>I$105</f>
        <v>419</v>
      </c>
      <c r="L166" s="21" t="s">
        <v>22</v>
      </c>
      <c r="N166" s="21" t="str">
        <f>CONCATENATE("q", I166)</f>
        <v>q419</v>
      </c>
      <c r="O166" s="48" t="str">
        <f>CONCATENATE(I166,". ",E166)</f>
        <v xml:space="preserve">419. هل تمتلك الأسرة أي من العناصر التاليه؟ </v>
      </c>
      <c r="P166" s="127" t="str">
        <f t="shared" ref="P166" si="12">CONCATENATE(A166, ". ", B166)</f>
        <v>q419. Does your family own any of the following items?</v>
      </c>
      <c r="Q166" s="58"/>
      <c r="R166" s="58"/>
      <c r="S166" s="127"/>
      <c r="T166" s="127"/>
      <c r="U166" s="127"/>
      <c r="Y166" s="9" t="b">
        <v>1</v>
      </c>
      <c r="Z166" s="64"/>
    </row>
    <row r="167" spans="1:29" ht="30">
      <c r="E167" s="310"/>
      <c r="F167" s="310"/>
      <c r="K167" s="18"/>
      <c r="L167" s="21" t="s">
        <v>170</v>
      </c>
      <c r="M167" s="21" t="s">
        <v>140</v>
      </c>
      <c r="N167" s="21" t="str">
        <f t="shared" ref="N167:N176" si="13">CONCATENATE($N$105, "_",$I119)</f>
        <v>q419_12</v>
      </c>
      <c r="O167" s="70" t="str">
        <f>CONCATENATE(N167, ". ", SUBSTITUTE($E$107, "[بند]",$E$119))</f>
        <v>q419_12. فرن صاج غاز؟</v>
      </c>
      <c r="P167" s="85" t="str">
        <f>CONCATENATE(N167, ". ", SUBSTITUTE($B$107, "[item]",$B$119))</f>
        <v>q419_12. Traditional Gas oven?</v>
      </c>
      <c r="Q167"/>
      <c r="R167"/>
      <c r="S167" s="30" t="str">
        <f t="shared" ref="S167:S180" si="14">CONCATENATE("data('valid_overall') == 1")</f>
        <v>data('valid_overall') == 1</v>
      </c>
      <c r="Y167" s="9" t="b">
        <v>1</v>
      </c>
      <c r="AA167" s="9"/>
      <c r="AB167" s="9"/>
      <c r="AC167"/>
    </row>
    <row r="168" spans="1:29" ht="30">
      <c r="E168" s="310"/>
      <c r="F168" s="310"/>
      <c r="K168" s="18"/>
      <c r="L168" s="21" t="s">
        <v>170</v>
      </c>
      <c r="M168" s="21" t="s">
        <v>140</v>
      </c>
      <c r="N168" s="21" t="str">
        <f t="shared" si="13"/>
        <v>q419_13</v>
      </c>
      <c r="O168" s="70" t="str">
        <f>CONCATENATE(N168, ". ", SUBSTITUTE($E$107, "[بند]",$E$120))</f>
        <v>q419_13. مروحة كهربائية؟</v>
      </c>
      <c r="P168" s="85" t="str">
        <f>CONCATENATE(N168, ". ", SUBSTITUTE($B$107, "[item]",$B$120))</f>
        <v>q419_13. electric fan?</v>
      </c>
      <c r="Q168"/>
      <c r="R168"/>
      <c r="S168" s="30" t="str">
        <f t="shared" si="14"/>
        <v>data('valid_overall') == 1</v>
      </c>
      <c r="Y168" s="9" t="b">
        <v>1</v>
      </c>
      <c r="AA168" s="9"/>
      <c r="AB168" s="9"/>
      <c r="AC168"/>
    </row>
    <row r="169" spans="1:29" ht="30">
      <c r="E169" s="310"/>
      <c r="F169" s="310"/>
      <c r="K169" s="18"/>
      <c r="L169" s="21" t="s">
        <v>170</v>
      </c>
      <c r="M169" s="21" t="s">
        <v>140</v>
      </c>
      <c r="N169" s="21" t="str">
        <f t="shared" si="13"/>
        <v>q419_14</v>
      </c>
      <c r="O169" s="70" t="str">
        <f>CONCATENATE(N169, ". ", SUBSTITUTE($E$107, "[بند]",$E$121))</f>
        <v>q419_14. سخان مياه للاستحمام (غاز/كهرباء)؟</v>
      </c>
      <c r="P169" s="85" t="str">
        <f>CONCATENATE(N169, ". ", SUBSTITUTE($B$107, "[item]",$B$121))</f>
        <v>q419_14. water heater?</v>
      </c>
      <c r="S169" s="30" t="str">
        <f t="shared" si="14"/>
        <v>data('valid_overall') == 1</v>
      </c>
      <c r="Y169" s="9" t="b">
        <v>1</v>
      </c>
      <c r="AA169" s="9"/>
      <c r="AB169" s="9"/>
      <c r="AC169"/>
    </row>
    <row r="170" spans="1:29" ht="30">
      <c r="E170" s="310"/>
      <c r="F170" s="310"/>
      <c r="K170" s="18"/>
      <c r="L170" s="21" t="s">
        <v>170</v>
      </c>
      <c r="M170" s="21" t="s">
        <v>140</v>
      </c>
      <c r="N170" s="21" t="str">
        <f t="shared" si="13"/>
        <v>q419_15</v>
      </c>
      <c r="O170" s="70" t="str">
        <f>CONCATENATE(N170, ". ", SUBSTITUTE($E$107, "[بند]",$E$122))</f>
        <v>q419_15. دفاية (كهرباء/غاز/كيروسين)؟</v>
      </c>
      <c r="P170" s="85" t="str">
        <f>CONCATENATE(N170, ". ", SUBSTITUTE($B$107, "[item]",$B$122))</f>
        <v>q419_15. space heater (gas, oil, or electric)?</v>
      </c>
      <c r="Q170"/>
      <c r="R170"/>
      <c r="S170" s="30" t="str">
        <f t="shared" si="14"/>
        <v>data('valid_overall') == 1</v>
      </c>
      <c r="Y170" s="9" t="b">
        <v>1</v>
      </c>
      <c r="AA170" s="9"/>
      <c r="AB170" s="9"/>
      <c r="AC170"/>
    </row>
    <row r="171" spans="1:29" ht="30">
      <c r="E171" s="310"/>
      <c r="F171" s="310"/>
      <c r="K171" s="18"/>
      <c r="L171" s="21" t="s">
        <v>170</v>
      </c>
      <c r="M171" s="21" t="s">
        <v>140</v>
      </c>
      <c r="N171" s="21" t="str">
        <f t="shared" si="13"/>
        <v>q419_16</v>
      </c>
      <c r="O171" s="70" t="str">
        <f>CONCATENATE(N171, ". ", SUBSTITUTE($E$107, "[بند]",$E$123))</f>
        <v>q419_16. ماكينة خياطة؟</v>
      </c>
      <c r="P171" s="85" t="str">
        <f>CONCATENATE(N171, ". ", SUBSTITUTE($B$107, "[item]",$B$123))</f>
        <v>q419_16. sewing machine?</v>
      </c>
      <c r="Q171"/>
      <c r="R171"/>
      <c r="S171" s="30" t="str">
        <f t="shared" si="14"/>
        <v>data('valid_overall') == 1</v>
      </c>
      <c r="Y171" s="9" t="b">
        <v>1</v>
      </c>
      <c r="AA171" s="9"/>
      <c r="AB171" s="9"/>
      <c r="AC171"/>
    </row>
    <row r="172" spans="1:29" ht="30">
      <c r="E172" s="310"/>
      <c r="F172" s="310"/>
      <c r="K172" s="18"/>
      <c r="L172" s="21" t="s">
        <v>170</v>
      </c>
      <c r="M172" s="21" t="s">
        <v>140</v>
      </c>
      <c r="N172" s="21" t="str">
        <f t="shared" si="13"/>
        <v>q419_17</v>
      </c>
      <c r="O172" s="70" t="str">
        <f>CONCATENATE(N172, ". ", SUBSTITUTE($E$107, "[بند]",$E$124))</f>
        <v>q419_17. مكواة (كهرباء أو خلافه)؟</v>
      </c>
      <c r="P172" s="85" t="str">
        <f>CONCATENATE(N172, ". ", SUBSTITUTE($B$107, "[item]",$B$124))</f>
        <v>q419_17. Iron (electric or other)?</v>
      </c>
      <c r="Q172" s="363" t="str">
        <f>Q124</f>
        <v>للملابس</v>
      </c>
      <c r="R172" s="363" t="str">
        <f>R124</f>
        <v>For clothes</v>
      </c>
      <c r="S172" s="30" t="str">
        <f t="shared" si="14"/>
        <v>data('valid_overall') == 1</v>
      </c>
      <c r="Y172" s="9" t="b">
        <v>1</v>
      </c>
      <c r="AA172" s="9"/>
      <c r="AB172" s="9"/>
      <c r="AC172"/>
    </row>
    <row r="173" spans="1:29" ht="30">
      <c r="E173" s="310"/>
      <c r="F173" s="310"/>
      <c r="K173" s="18"/>
      <c r="L173" s="21" t="s">
        <v>170</v>
      </c>
      <c r="M173" s="21" t="s">
        <v>140</v>
      </c>
      <c r="N173" s="21" t="str">
        <f t="shared" si="13"/>
        <v>q419_18</v>
      </c>
      <c r="O173" s="70" t="str">
        <f>CONCATENATE(N173, ". ", SUBSTITUTE($E$107, "[بند]",$E$125))</f>
        <v>q419_18. راديو - كاسيت - مشغل اسطوانات؟</v>
      </c>
      <c r="P173" s="85" t="str">
        <f>CONCATENATE(N173, ". ", SUBSTITUTE($B$107, "[item]",$B$125))</f>
        <v>q419_18. Radio, tape recorder, CD player?</v>
      </c>
      <c r="S173" s="30" t="str">
        <f t="shared" si="14"/>
        <v>data('valid_overall') == 1</v>
      </c>
      <c r="Y173" s="9" t="b">
        <v>1</v>
      </c>
      <c r="AA173" s="9"/>
      <c r="AB173" s="9"/>
      <c r="AC173"/>
    </row>
    <row r="174" spans="1:29" ht="45">
      <c r="E174" s="310"/>
      <c r="F174" s="310"/>
      <c r="K174" s="18"/>
      <c r="L174" s="21" t="s">
        <v>170</v>
      </c>
      <c r="M174" s="21" t="s">
        <v>140</v>
      </c>
      <c r="N174" s="21" t="str">
        <f t="shared" si="13"/>
        <v>q419_19</v>
      </c>
      <c r="O174" s="70" t="str">
        <f>CONCATENATE(N174, ". ", SUBSTITUTE($E$107, "[بند]",$E$126))</f>
        <v>q419_19. غسالة عادية/نصف اتوماتيك؟</v>
      </c>
      <c r="P174" s="85" t="str">
        <f>CONCATENATE(N174, ". ", SUBSTITUTE($B$107, "[item]",$B$126))</f>
        <v>q419_19. Manual/ Semi-automatic washing machine?</v>
      </c>
      <c r="Q174"/>
      <c r="R174"/>
      <c r="S174" s="30" t="str">
        <f t="shared" si="14"/>
        <v>data('valid_overall') == 1</v>
      </c>
      <c r="Y174" s="9" t="b">
        <v>1</v>
      </c>
      <c r="AA174" s="9"/>
      <c r="AB174" s="9"/>
      <c r="AC174"/>
    </row>
    <row r="175" spans="1:29" ht="30">
      <c r="E175" s="310"/>
      <c r="F175" s="310"/>
      <c r="K175" s="18"/>
      <c r="L175" s="21" t="s">
        <v>170</v>
      </c>
      <c r="M175" s="21" t="s">
        <v>140</v>
      </c>
      <c r="N175" s="21" t="str">
        <f t="shared" si="13"/>
        <v>q419_20</v>
      </c>
      <c r="O175" s="70" t="str">
        <f>CONCATENATE(N175, ". ", SUBSTITUTE($E$107, "[بند]",$E$127))</f>
        <v>q419_20. غسالة فول أتوماتيك؟</v>
      </c>
      <c r="P175" s="85" t="str">
        <f>CONCATENATE(N175, ". ", SUBSTITUTE($B$107, "[item]",$B$127))</f>
        <v>q419_20. Full automatic washing machine?</v>
      </c>
      <c r="Q175"/>
      <c r="R175"/>
      <c r="S175" s="30" t="str">
        <f t="shared" si="14"/>
        <v>data('valid_overall') == 1</v>
      </c>
      <c r="Y175" s="9" t="b">
        <v>1</v>
      </c>
      <c r="AA175" s="9"/>
      <c r="AB175" s="9"/>
      <c r="AC175"/>
    </row>
    <row r="176" spans="1:29" ht="30">
      <c r="E176" s="310"/>
      <c r="F176" s="310"/>
      <c r="K176" s="18"/>
      <c r="L176" s="21" t="s">
        <v>170</v>
      </c>
      <c r="M176" s="21" t="s">
        <v>140</v>
      </c>
      <c r="N176" s="21" t="str">
        <f t="shared" si="13"/>
        <v>q419_21</v>
      </c>
      <c r="O176" s="70" t="str">
        <f>CONCATENATE(N176, ". ", SUBSTITUTE($E$107, "[بند]",$E$128))</f>
        <v>q419_21.  كاميرا (ديجيتال)/كاميرا فيديو؟</v>
      </c>
      <c r="P176" s="85" t="str">
        <f>CONCATENATE(N176, ". ", SUBSTITUTE($B$107, "[item]",$B$128))</f>
        <v>q419_21. Digital camera/Video camera?</v>
      </c>
      <c r="Q176" s="363" t="str">
        <f>Q128</f>
        <v>* ليس فقط للهاتف أو الكمبيوتر اللوحي</v>
      </c>
      <c r="R176" s="363" t="str">
        <f>R128</f>
        <v>*Not just for phone or tablet</v>
      </c>
      <c r="S176" s="30" t="str">
        <f t="shared" si="14"/>
        <v>data('valid_overall') == 1</v>
      </c>
      <c r="Y176" s="9" t="b">
        <v>1</v>
      </c>
      <c r="AA176" s="9"/>
      <c r="AB176" s="9"/>
      <c r="AC176"/>
    </row>
    <row r="177" spans="1:29" ht="15">
      <c r="E177" s="310"/>
      <c r="F177" s="310"/>
      <c r="J177" s="18" t="s">
        <v>21</v>
      </c>
      <c r="K177" s="18"/>
      <c r="P177" s="85"/>
      <c r="Q177"/>
      <c r="R177"/>
      <c r="AA177" s="9"/>
      <c r="AB177" s="9"/>
      <c r="AC177"/>
    </row>
    <row r="178" spans="1:29" ht="15">
      <c r="E178" s="310"/>
      <c r="F178" s="310"/>
      <c r="J178" s="18" t="s">
        <v>20</v>
      </c>
      <c r="K178" s="18"/>
      <c r="P178" s="85"/>
      <c r="Q178"/>
      <c r="R178"/>
      <c r="AA178" s="9"/>
      <c r="AB178" s="9"/>
      <c r="AC178"/>
    </row>
    <row r="179" spans="1:29" ht="75">
      <c r="A179" s="18" t="str">
        <f t="shared" ref="A179" si="15">N179</f>
        <v>q419</v>
      </c>
      <c r="B179" s="67" t="s">
        <v>344</v>
      </c>
      <c r="C179" s="67"/>
      <c r="E179" s="310" t="s">
        <v>1101</v>
      </c>
      <c r="F179" s="310"/>
      <c r="I179" s="30">
        <f>I$105</f>
        <v>419</v>
      </c>
      <c r="L179" s="21" t="s">
        <v>22</v>
      </c>
      <c r="N179" s="21" t="str">
        <f>CONCATENATE("q", I179)</f>
        <v>q419</v>
      </c>
      <c r="O179" s="48" t="str">
        <f>CONCATENATE(I179,". ",E179)</f>
        <v xml:space="preserve">419. هل تمتلك الأسرة أي من العناصر التاليه؟ </v>
      </c>
      <c r="P179" s="127" t="str">
        <f t="shared" ref="P179" si="16">CONCATENATE(A179, ". ", B179)</f>
        <v>q419. Does your family own any of the following items?</v>
      </c>
      <c r="Q179" s="58"/>
      <c r="R179" s="58"/>
      <c r="S179" s="127"/>
      <c r="T179" s="127"/>
      <c r="U179" s="127"/>
      <c r="Y179" s="9" t="b">
        <v>1</v>
      </c>
      <c r="Z179" s="64"/>
    </row>
    <row r="180" spans="1:29" ht="30">
      <c r="E180" s="310"/>
      <c r="F180" s="310"/>
      <c r="K180" s="18"/>
      <c r="L180" s="21" t="s">
        <v>170</v>
      </c>
      <c r="M180" s="21" t="s">
        <v>140</v>
      </c>
      <c r="N180" s="21" t="str">
        <f t="shared" ref="N180:N191" si="17">CONCATENATE($N$105, "_",$I129)</f>
        <v>q419_22</v>
      </c>
      <c r="O180" s="70" t="str">
        <f>CONCATENATE(N180, ". ", SUBSTITUTE($E$107, "[بند]",$E$129))</f>
        <v>q419_22. دراجة؟</v>
      </c>
      <c r="P180" s="85" t="str">
        <f>CONCATENATE(N180, ". ", SUBSTITUTE($B$107, "[item]",$B$129))</f>
        <v>q419_22. bicycle?</v>
      </c>
      <c r="Q180"/>
      <c r="R180"/>
      <c r="S180" s="30" t="str">
        <f t="shared" si="14"/>
        <v>data('valid_overall') == 1</v>
      </c>
      <c r="Y180" s="9" t="b">
        <v>1</v>
      </c>
      <c r="AA180" s="9"/>
      <c r="AB180" s="9"/>
      <c r="AC180"/>
    </row>
    <row r="181" spans="1:29" ht="30">
      <c r="E181" s="310"/>
      <c r="F181" s="310"/>
      <c r="K181" s="18"/>
      <c r="L181" s="21" t="s">
        <v>170</v>
      </c>
      <c r="M181" s="21" t="s">
        <v>140</v>
      </c>
      <c r="N181" s="21" t="str">
        <f t="shared" si="17"/>
        <v>q419_23</v>
      </c>
      <c r="O181" s="70" t="str">
        <f>CONCATENATE(N181, ". ", SUBSTITUTE($E$107, "[بند]",$E$130))</f>
        <v>q419_23.   موتوسيكل/فيسبا؟</v>
      </c>
      <c r="P181" s="85" t="str">
        <f>CONCATENATE(N181, ". ", SUBSTITUTE($B$107, "[item]",$B$130))</f>
        <v>q419_23. motorcycle / scooter?</v>
      </c>
      <c r="Q181"/>
      <c r="R181"/>
      <c r="S181" s="30" t="str">
        <f t="shared" ref="S181:S191" si="18">CONCATENATE("data('valid_overall') == 1")</f>
        <v>data('valid_overall') == 1</v>
      </c>
      <c r="Y181" s="9" t="b">
        <v>1</v>
      </c>
      <c r="AA181" s="9"/>
      <c r="AB181" s="9"/>
      <c r="AC181"/>
    </row>
    <row r="182" spans="1:29" ht="30">
      <c r="E182" s="310"/>
      <c r="F182" s="310"/>
      <c r="K182" s="18"/>
      <c r="L182" s="21" t="s">
        <v>170</v>
      </c>
      <c r="M182" s="21" t="s">
        <v>140</v>
      </c>
      <c r="N182" s="21" t="str">
        <f t="shared" si="17"/>
        <v>q419_24</v>
      </c>
      <c r="O182" s="70" t="str">
        <f>CONCATENATE(N182, ". ", SUBSTITUTE($E$107, "[بند]",$E$131))</f>
        <v>q419_24. سيارة خاصة؟</v>
      </c>
      <c r="P182" s="85" t="str">
        <f>CONCATENATE(N182, ". ", SUBSTITUTE($B$107, "[item]",$B$131))</f>
        <v>q419_24. private car?</v>
      </c>
      <c r="Q182"/>
      <c r="R182"/>
      <c r="S182" s="30" t="str">
        <f t="shared" si="18"/>
        <v>data('valid_overall') == 1</v>
      </c>
      <c r="Y182" s="9" t="b">
        <v>1</v>
      </c>
      <c r="AA182" s="9"/>
      <c r="AB182" s="9"/>
      <c r="AC182"/>
    </row>
    <row r="183" spans="1:29" ht="30">
      <c r="E183" s="310"/>
      <c r="F183" s="310"/>
      <c r="K183" s="18"/>
      <c r="L183" s="21" t="s">
        <v>170</v>
      </c>
      <c r="M183" s="21" t="s">
        <v>140</v>
      </c>
      <c r="N183" s="21" t="str">
        <f t="shared" si="17"/>
        <v>q419_25</v>
      </c>
      <c r="O183" s="70" t="str">
        <f>CONCATENATE(N183, ". ", SUBSTITUTE($E$107, "[بند]",$E$132))</f>
        <v>q419_25. سيارة أجرة؟</v>
      </c>
      <c r="P183" s="85" t="str">
        <f>CONCATENATE(N183, ". ", SUBSTITUTE($B$107, "[item]",$B$132))</f>
        <v>q419_25. taxi?</v>
      </c>
      <c r="Q183"/>
      <c r="R183"/>
      <c r="S183" s="30" t="str">
        <f t="shared" si="18"/>
        <v>data('valid_overall') == 1</v>
      </c>
      <c r="Y183" s="9" t="b">
        <v>1</v>
      </c>
      <c r="AA183" s="9"/>
      <c r="AB183" s="9"/>
      <c r="AC183"/>
    </row>
    <row r="184" spans="1:29" ht="30">
      <c r="E184" s="310"/>
      <c r="F184" s="310"/>
      <c r="K184" s="18"/>
      <c r="L184" s="21" t="s">
        <v>170</v>
      </c>
      <c r="M184" s="21" t="s">
        <v>140</v>
      </c>
      <c r="N184" s="21" t="str">
        <f t="shared" si="17"/>
        <v>q419_26</v>
      </c>
      <c r="O184" s="70" t="str">
        <f>CONCATENATE(N184, ". ", SUBSTITUTE($E$107, "[بند]",$E$133))</f>
        <v>q419_26. سيارة نقل/نصف نقل؟</v>
      </c>
      <c r="P184" s="85" t="str">
        <f>CONCATENATE(N184, ". ", SUBSTITUTE($B$107, "[item]",$B$133))</f>
        <v>q419_26. truck/pick-up truck?</v>
      </c>
      <c r="Q184"/>
      <c r="R184"/>
      <c r="S184" s="30" t="str">
        <f t="shared" si="18"/>
        <v>data('valid_overall') == 1</v>
      </c>
      <c r="Y184" s="9" t="b">
        <v>1</v>
      </c>
      <c r="AA184" s="9"/>
      <c r="AB184" s="9"/>
      <c r="AC184"/>
    </row>
    <row r="185" spans="1:29" ht="15">
      <c r="E185" s="310"/>
      <c r="F185" s="310"/>
      <c r="K185" s="18"/>
      <c r="L185" s="21" t="s">
        <v>170</v>
      </c>
      <c r="M185" s="21" t="s">
        <v>140</v>
      </c>
      <c r="N185" s="21" t="str">
        <f t="shared" si="17"/>
        <v>q419_27</v>
      </c>
      <c r="O185" s="70" t="str">
        <f>CONCATENATE(N185, ". ", SUBSTITUTE($E$107, "[بند]",$E$134))</f>
        <v>q419_27. توك توك؟</v>
      </c>
      <c r="P185" s="85" t="str">
        <f>CONCATENATE(N185, ". ", SUBSTITUTE($B$107, "[item]",$B$134))</f>
        <v>q419_27. Tok-Tok?</v>
      </c>
      <c r="S185" s="30" t="str">
        <f t="shared" si="18"/>
        <v>data('valid_overall') == 1</v>
      </c>
      <c r="Y185" s="9" t="b">
        <v>1</v>
      </c>
      <c r="AA185" s="9"/>
      <c r="AB185" s="9"/>
      <c r="AC185"/>
    </row>
    <row r="186" spans="1:29" ht="30">
      <c r="E186" s="310"/>
      <c r="F186" s="310"/>
      <c r="K186" s="18"/>
      <c r="L186" s="21" t="s">
        <v>170</v>
      </c>
      <c r="M186" s="21" t="s">
        <v>140</v>
      </c>
      <c r="N186" s="21" t="str">
        <f t="shared" si="17"/>
        <v>q419_28</v>
      </c>
      <c r="O186" s="70" t="str">
        <f>CONCATENATE(N186, ". ", SUBSTITUTE($E$107, "[بند]",$E$135))</f>
        <v>q419_28. كمبيوتر؟</v>
      </c>
      <c r="P186" s="85" t="str">
        <f>CONCATENATE(N186, ". ", SUBSTITUTE($B$107, "[item]",$B$135))</f>
        <v>q419_28. desktop computer?</v>
      </c>
      <c r="Q186"/>
      <c r="R186"/>
      <c r="S186" s="30" t="str">
        <f t="shared" si="18"/>
        <v>data('valid_overall') == 1</v>
      </c>
      <c r="Y186" s="9" t="b">
        <v>1</v>
      </c>
      <c r="AA186" s="9"/>
      <c r="AB186" s="9"/>
      <c r="AC186"/>
    </row>
    <row r="187" spans="1:29" ht="45">
      <c r="E187" s="310"/>
      <c r="F187" s="310"/>
      <c r="K187" s="18"/>
      <c r="L187" s="21" t="s">
        <v>170</v>
      </c>
      <c r="M187" s="21" t="s">
        <v>140</v>
      </c>
      <c r="N187" s="21" t="str">
        <f t="shared" si="17"/>
        <v>q419_29</v>
      </c>
      <c r="O187" s="70" t="str">
        <f>CONCATENATE(N187, ". ", SUBSTITUTE($E$107, "[بند]",$E$136))</f>
        <v>q419_29. نوت بوك، لاب توب، تابلت (كمبيوتر لوحى)؟</v>
      </c>
      <c r="P187" s="85" t="str">
        <f>CONCATENATE(N187, ". ", SUBSTITUTE($B$107, "[item]",$B$136))</f>
        <v>q419_29. Notebook, laptop or tablet computer?</v>
      </c>
      <c r="Q187"/>
      <c r="R187"/>
      <c r="S187" s="30" t="str">
        <f t="shared" si="18"/>
        <v>data('valid_overall') == 1</v>
      </c>
      <c r="Y187" s="9" t="b">
        <v>1</v>
      </c>
      <c r="AA187" s="9"/>
      <c r="AB187" s="9"/>
      <c r="AC187"/>
    </row>
    <row r="188" spans="1:29" ht="45">
      <c r="E188" s="310"/>
      <c r="F188" s="310"/>
      <c r="K188" s="18"/>
      <c r="L188" s="21" t="s">
        <v>170</v>
      </c>
      <c r="M188" s="21" t="s">
        <v>140</v>
      </c>
      <c r="N188" s="21" t="str">
        <f t="shared" si="17"/>
        <v>q419_30</v>
      </c>
      <c r="O188" s="70" t="str">
        <f>CONCATENATE(N188, ". ", SUBSTITUTE($E$107, "[بند]",$E$137))</f>
        <v>q419_30. راوتر/وصلة انترنت؟</v>
      </c>
      <c r="P188" s="85" t="str">
        <f>CONCATENATE(N188, ". ", SUBSTITUTE($B$107, "[item]",$B$137))</f>
        <v>q419_30. Router/internet connection?</v>
      </c>
      <c r="Q188" s="363" t="str">
        <f>Q137</f>
        <v>* بخلاف ما على هاتفك</v>
      </c>
      <c r="R188" s="363" t="str">
        <f>R137</f>
        <v>*Other than what's on your phone</v>
      </c>
      <c r="S188" s="30" t="str">
        <f t="shared" si="18"/>
        <v>data('valid_overall') == 1</v>
      </c>
      <c r="Y188" s="9" t="b">
        <v>1</v>
      </c>
      <c r="AA188" s="9"/>
      <c r="AB188" s="9"/>
      <c r="AC188"/>
    </row>
    <row r="189" spans="1:29" ht="30">
      <c r="E189" s="310"/>
      <c r="F189" s="310"/>
      <c r="K189" s="18"/>
      <c r="L189" s="21" t="s">
        <v>170</v>
      </c>
      <c r="M189" s="21" t="s">
        <v>140</v>
      </c>
      <c r="N189" s="21" t="str">
        <f t="shared" si="17"/>
        <v>q419_31</v>
      </c>
      <c r="O189" s="70" t="str">
        <f>CONCATENATE(N189, ". ", SUBSTITUTE($E$107, "[بند]",$E$138))</f>
        <v>q419_31. تليفون أرضي؟</v>
      </c>
      <c r="P189" s="85" t="str">
        <f>CONCATENATE(N189, ". ", SUBSTITUTE($B$107, "[item]",$B$138))</f>
        <v>q419_31. Landline phone?</v>
      </c>
      <c r="Q189"/>
      <c r="R189"/>
      <c r="S189" s="30" t="str">
        <f t="shared" si="18"/>
        <v>data('valid_overall') == 1</v>
      </c>
      <c r="Y189" s="9" t="b">
        <v>1</v>
      </c>
      <c r="AA189" s="9"/>
      <c r="AB189" s="9"/>
      <c r="AC189"/>
    </row>
    <row r="190" spans="1:29" ht="30">
      <c r="E190" s="310"/>
      <c r="F190" s="310"/>
      <c r="K190" s="18"/>
      <c r="L190" s="21" t="s">
        <v>170</v>
      </c>
      <c r="M190" s="21" t="s">
        <v>140</v>
      </c>
      <c r="N190" s="21" t="str">
        <f t="shared" si="17"/>
        <v>q419_32</v>
      </c>
      <c r="O190" s="70" t="str">
        <f>CONCATENATE(N190, ". ", SUBSTITUTE($E$107, "[بند]",$E$139))</f>
        <v>q419_32. تليفون محمول عادي؟</v>
      </c>
      <c r="P190" s="85" t="str">
        <f>CONCATENATE(N190, ". ", SUBSTITUTE($B$107, "[item]",$B$139))</f>
        <v>q419_32. Regular mobile phone?</v>
      </c>
      <c r="Q190"/>
      <c r="R190"/>
      <c r="S190" s="30" t="str">
        <f t="shared" si="18"/>
        <v>data('valid_overall') == 1</v>
      </c>
      <c r="Y190" s="9" t="b">
        <v>1</v>
      </c>
      <c r="AA190" s="9"/>
      <c r="AB190" s="9"/>
      <c r="AC190"/>
    </row>
    <row r="191" spans="1:29" ht="30">
      <c r="E191" s="310"/>
      <c r="F191" s="310"/>
      <c r="K191" s="18"/>
      <c r="L191" s="21" t="s">
        <v>170</v>
      </c>
      <c r="M191" s="21" t="s">
        <v>140</v>
      </c>
      <c r="N191" s="21" t="str">
        <f t="shared" si="17"/>
        <v>q419_33</v>
      </c>
      <c r="O191" s="70" t="str">
        <f>CONCATENATE(N191, ". ", SUBSTITUTE($E$107, "[بند]",$E$140))</f>
        <v>q419_33. تليفون محمول سمارت؟</v>
      </c>
      <c r="P191" s="85" t="str">
        <f>CONCATENATE(N191, ". ", SUBSTITUTE($B$107, "[item]",$B$140))</f>
        <v>q419_33. Smart mobile phone?</v>
      </c>
      <c r="Q191"/>
      <c r="R191"/>
      <c r="S191" s="30" t="str">
        <f t="shared" si="18"/>
        <v>data('valid_overall') == 1</v>
      </c>
      <c r="Y191" s="9" t="b">
        <v>1</v>
      </c>
      <c r="AA191" s="9"/>
      <c r="AB191" s="9"/>
      <c r="AC191"/>
    </row>
    <row r="192" spans="1:29" ht="15">
      <c r="E192" s="310"/>
      <c r="F192" s="310"/>
      <c r="J192" s="18" t="s">
        <v>21</v>
      </c>
      <c r="K192" s="18"/>
      <c r="P192" s="85"/>
      <c r="Q192"/>
      <c r="R192"/>
      <c r="AA192" s="9"/>
      <c r="AB192" s="9"/>
      <c r="AC192"/>
    </row>
    <row r="193" spans="1:29" ht="15">
      <c r="E193" s="310"/>
      <c r="F193" s="310"/>
      <c r="J193" s="18" t="s">
        <v>20</v>
      </c>
      <c r="K193" s="18"/>
      <c r="P193" s="85"/>
      <c r="Q193"/>
      <c r="R193"/>
      <c r="AA193" s="9"/>
      <c r="AB193" s="9"/>
      <c r="AC193"/>
    </row>
    <row r="194" spans="1:29" ht="75">
      <c r="A194" s="18" t="str">
        <f t="shared" ref="A194" si="19">N194</f>
        <v>q419</v>
      </c>
      <c r="B194" s="67" t="s">
        <v>344</v>
      </c>
      <c r="C194" s="67"/>
      <c r="E194" s="310" t="s">
        <v>1101</v>
      </c>
      <c r="F194" s="310"/>
      <c r="I194" s="30">
        <f>I$105</f>
        <v>419</v>
      </c>
      <c r="L194" s="21" t="s">
        <v>22</v>
      </c>
      <c r="N194" s="21" t="str">
        <f>CONCATENATE("q", I194)</f>
        <v>q419</v>
      </c>
      <c r="O194" s="48" t="str">
        <f>CONCATENATE(I194,". ",E194)</f>
        <v xml:space="preserve">419. هل تمتلك الأسرة أي من العناصر التاليه؟ </v>
      </c>
      <c r="P194" s="127" t="str">
        <f t="shared" ref="P194" si="20">CONCATENATE(A194, ". ", B194)</f>
        <v>q419. Does your family own any of the following items?</v>
      </c>
      <c r="Q194" s="58"/>
      <c r="R194" s="58"/>
      <c r="S194" s="127"/>
      <c r="T194" s="127"/>
      <c r="U194" s="127"/>
      <c r="Y194" s="9" t="b">
        <v>1</v>
      </c>
      <c r="Z194" s="64"/>
    </row>
    <row r="195" spans="1:29" ht="30">
      <c r="E195" s="310"/>
      <c r="F195" s="310"/>
      <c r="K195" s="18"/>
      <c r="L195" s="21" t="s">
        <v>170</v>
      </c>
      <c r="M195" s="21" t="s">
        <v>140</v>
      </c>
      <c r="N195" s="21" t="str">
        <f t="shared" ref="N195:N205" si="21">CONCATENATE($N$105, "_",$I141)</f>
        <v>q419_34</v>
      </c>
      <c r="O195" s="70" t="str">
        <f>CONCATENATE(N195, ". ", SUBSTITUTE($E$107, "[بند]",$E$141))</f>
        <v>q419_34. دش وجهاز استقبال (رسيفر)؟</v>
      </c>
      <c r="P195" s="85" t="str">
        <f>CONCATENATE(N195, ". ", SUBSTITUTE($B$107, "[item]",$B$141))</f>
        <v>q419_34. satellite dish and receiver?</v>
      </c>
      <c r="Q195"/>
      <c r="R195"/>
      <c r="S195" s="30" t="str">
        <f t="shared" ref="S195:S205" si="22">CONCATENATE("data('valid_overall') == 1")</f>
        <v>data('valid_overall') == 1</v>
      </c>
      <c r="Y195" s="9" t="b">
        <v>1</v>
      </c>
      <c r="AA195" s="9"/>
      <c r="AB195" s="9"/>
      <c r="AC195"/>
    </row>
    <row r="196" spans="1:29" ht="30">
      <c r="E196" s="310"/>
      <c r="F196" s="310"/>
      <c r="K196" s="18"/>
      <c r="L196" s="21" t="s">
        <v>170</v>
      </c>
      <c r="M196" s="21" t="s">
        <v>140</v>
      </c>
      <c r="N196" s="21" t="str">
        <f t="shared" si="21"/>
        <v>q419_35</v>
      </c>
      <c r="O196" s="70" t="str">
        <f>CONCATENATE(N196, ". ", SUBSTITUTE($E$107, "[بند]",$E$142))</f>
        <v>q419_35. جهاز استقبال (رسيفر) إضافى؟</v>
      </c>
      <c r="P196" s="85" t="str">
        <f>CONCATENATE(N196, ". ", SUBSTITUTE($B$107, "[item]",$B$142))</f>
        <v>q419_35. additional satellite receiver?</v>
      </c>
      <c r="Q196"/>
      <c r="R196"/>
      <c r="S196" s="30" t="str">
        <f t="shared" si="22"/>
        <v>data('valid_overall') == 1</v>
      </c>
      <c r="Y196" s="9" t="b">
        <v>1</v>
      </c>
      <c r="AA196" s="9"/>
      <c r="AB196" s="9"/>
      <c r="AC196"/>
    </row>
    <row r="197" spans="1:29" ht="30">
      <c r="E197" s="310"/>
      <c r="F197" s="310"/>
      <c r="K197" s="18"/>
      <c r="L197" s="21" t="s">
        <v>170</v>
      </c>
      <c r="M197" s="21" t="s">
        <v>140</v>
      </c>
      <c r="N197" s="21" t="str">
        <f t="shared" si="21"/>
        <v>q419_36</v>
      </c>
      <c r="O197" s="70" t="str">
        <f>CONCATENATE(N197, ". ", SUBSTITUTE($E$107, "[بند]",$E$143))</f>
        <v>q419_36. ماتور ضخ مياه (طلمبة)؟</v>
      </c>
      <c r="P197" s="85" t="str">
        <f>CONCATENATE(N197, ". ", SUBSTITUTE($B$107, "[item]",$B$143))</f>
        <v>q419_36. Water pump?</v>
      </c>
      <c r="Q197"/>
      <c r="R197"/>
      <c r="S197" s="30" t="str">
        <f t="shared" si="22"/>
        <v>data('valid_overall') == 1</v>
      </c>
      <c r="Y197" s="9" t="b">
        <v>1</v>
      </c>
      <c r="AA197" s="9"/>
      <c r="AB197" s="9"/>
      <c r="AC197"/>
    </row>
    <row r="198" spans="1:29" ht="30">
      <c r="E198" s="310"/>
      <c r="F198" s="310"/>
      <c r="K198" s="18"/>
      <c r="L198" s="21" t="s">
        <v>170</v>
      </c>
      <c r="M198" s="21" t="s">
        <v>140</v>
      </c>
      <c r="N198" s="21" t="str">
        <f t="shared" si="21"/>
        <v>q419_37</v>
      </c>
      <c r="O198" s="70" t="str">
        <f>CONCATENATE(N198, ". ", SUBSTITUTE($E$107, "[بند]",$E$144))</f>
        <v>q419_37. مجفف شعر (سيشوار)؟</v>
      </c>
      <c r="P198" s="85" t="str">
        <f>CONCATENATE(N198, ". ", SUBSTITUTE($B$107, "[item]",$B$144))</f>
        <v>q419_37. Hair dryer?</v>
      </c>
      <c r="Q198"/>
      <c r="R198"/>
      <c r="S198" s="30" t="str">
        <f t="shared" si="22"/>
        <v>data('valid_overall') == 1</v>
      </c>
      <c r="Y198" s="9" t="b">
        <v>1</v>
      </c>
      <c r="AA198" s="9"/>
      <c r="AB198" s="9"/>
      <c r="AC198"/>
    </row>
    <row r="199" spans="1:29" ht="30">
      <c r="E199" s="310"/>
      <c r="F199" s="310"/>
      <c r="K199" s="18"/>
      <c r="L199" s="21" t="s">
        <v>170</v>
      </c>
      <c r="M199" s="21" t="s">
        <v>140</v>
      </c>
      <c r="N199" s="21" t="str">
        <f t="shared" si="21"/>
        <v>q419_38</v>
      </c>
      <c r="O199" s="70" t="str">
        <f>CONCATENATE(N199, ". ", SUBSTITUTE($E$107, "[بند]",$E$145))</f>
        <v>q419_38. مكنسة كهربائية؟</v>
      </c>
      <c r="P199" s="85" t="str">
        <f>CONCATENATE(N199, ". ", SUBSTITUTE($B$107, "[item]",$B$145))</f>
        <v>q419_38. Vacuum?</v>
      </c>
      <c r="Q199"/>
      <c r="R199"/>
      <c r="S199" s="30" t="str">
        <f t="shared" si="22"/>
        <v>data('valid_overall') == 1</v>
      </c>
      <c r="Y199" s="9" t="b">
        <v>1</v>
      </c>
      <c r="AA199" s="9"/>
      <c r="AB199" s="9"/>
      <c r="AC199"/>
    </row>
    <row r="200" spans="1:29" ht="30">
      <c r="E200" s="310"/>
      <c r="F200" s="310"/>
      <c r="K200" s="18"/>
      <c r="L200" s="21" t="s">
        <v>170</v>
      </c>
      <c r="M200" s="21" t="s">
        <v>140</v>
      </c>
      <c r="N200" s="21" t="str">
        <f t="shared" si="21"/>
        <v>q419_39</v>
      </c>
      <c r="O200" s="70" t="str">
        <f>CONCATENATE(N200, ". ", SUBSTITUTE($E$107, "[بند]",$E$146))</f>
        <v>q419_39. مولد كهرباء؟</v>
      </c>
      <c r="P200" s="85" t="str">
        <f>CONCATENATE(N200, ". ", SUBSTITUTE($B$107, "[item]",$B$146))</f>
        <v>q419_39. Electricity generator?</v>
      </c>
      <c r="Q200"/>
      <c r="R200"/>
      <c r="S200" s="30" t="str">
        <f t="shared" si="22"/>
        <v>data('valid_overall') == 1</v>
      </c>
      <c r="Y200" s="9" t="b">
        <v>1</v>
      </c>
      <c r="AA200" s="9"/>
      <c r="AB200" s="9"/>
      <c r="AC200"/>
    </row>
    <row r="201" spans="1:29" ht="30">
      <c r="E201" s="310"/>
      <c r="F201" s="310"/>
      <c r="K201" s="18"/>
      <c r="L201" s="21" t="s">
        <v>170</v>
      </c>
      <c r="M201" s="21" t="s">
        <v>140</v>
      </c>
      <c r="N201" s="21" t="str">
        <f t="shared" si="21"/>
        <v>q419_40</v>
      </c>
      <c r="O201" s="70" t="str">
        <f>CONCATENATE(N201, ". ", SUBSTITUTE($E$107, "[بند]",$E$147))</f>
        <v>q419_40. خلاط/مفرمة؟</v>
      </c>
      <c r="P201" s="85" t="str">
        <f>CONCATENATE(N201, ". ", SUBSTITUTE($B$107, "[item]",$B$147))</f>
        <v>q419_40. Mixer/Grinder?</v>
      </c>
      <c r="Q201"/>
      <c r="R201"/>
      <c r="S201" s="30" t="str">
        <f t="shared" si="22"/>
        <v>data('valid_overall') == 1</v>
      </c>
      <c r="Y201" s="9" t="b">
        <v>1</v>
      </c>
      <c r="AA201" s="9"/>
      <c r="AB201" s="9"/>
      <c r="AC201"/>
    </row>
    <row r="202" spans="1:29" ht="30">
      <c r="E202" s="310"/>
      <c r="F202" s="310"/>
      <c r="K202" s="18"/>
      <c r="L202" s="21" t="s">
        <v>170</v>
      </c>
      <c r="M202" s="21" t="s">
        <v>140</v>
      </c>
      <c r="N202" s="21" t="str">
        <f t="shared" si="21"/>
        <v>q419_41</v>
      </c>
      <c r="O202" s="70" t="str">
        <f>CONCATENATE(N202, ". ", SUBSTITUTE($E$107, "[بند]",$E$148))</f>
        <v>q419_41. كتشن ماشين؟</v>
      </c>
      <c r="P202" s="85" t="str">
        <f>CONCATENATE(N202, ". ", SUBSTITUTE($B$107, "[item]",$B$148))</f>
        <v>q419_41. Kitchen machine?</v>
      </c>
      <c r="Q202"/>
      <c r="R202"/>
      <c r="S202" s="30" t="str">
        <f t="shared" si="22"/>
        <v>data('valid_overall') == 1</v>
      </c>
      <c r="Y202" s="9" t="b">
        <v>1</v>
      </c>
      <c r="AA202" s="9"/>
      <c r="AB202" s="9"/>
      <c r="AC202"/>
    </row>
    <row r="203" spans="1:29" ht="30">
      <c r="E203" s="310"/>
      <c r="F203" s="310"/>
      <c r="K203" s="18"/>
      <c r="L203" s="21" t="s">
        <v>170</v>
      </c>
      <c r="M203" s="21" t="s">
        <v>140</v>
      </c>
      <c r="N203" s="21" t="str">
        <f t="shared" si="21"/>
        <v>q419_42</v>
      </c>
      <c r="O203" s="70" t="str">
        <f>CONCATENATE(N203, ". ", SUBSTITUTE($E$107, "[بند]",$E$149))</f>
        <v>q419_42. مبرد مياه/كولدير؟</v>
      </c>
      <c r="P203" s="85" t="str">
        <f>CONCATENATE(N203, ". ", SUBSTITUTE($B$107, "[item]",$B$149))</f>
        <v>q419_42. Water cooler?</v>
      </c>
      <c r="Q203"/>
      <c r="R203"/>
      <c r="S203" s="30" t="str">
        <f t="shared" si="22"/>
        <v>data('valid_overall') == 1</v>
      </c>
      <c r="Y203" s="9" t="b">
        <v>1</v>
      </c>
      <c r="AA203" s="9"/>
      <c r="AB203" s="9"/>
      <c r="AC203"/>
    </row>
    <row r="204" spans="1:29" ht="30">
      <c r="E204" s="310"/>
      <c r="F204" s="310"/>
      <c r="K204" s="18"/>
      <c r="L204" s="21" t="s">
        <v>170</v>
      </c>
      <c r="M204" s="21" t="s">
        <v>140</v>
      </c>
      <c r="N204" s="21" t="str">
        <f t="shared" si="21"/>
        <v>q419_43</v>
      </c>
      <c r="O204" s="70" t="str">
        <f>CONCATENATE(N204, ". ", SUBSTITUTE($E$107, "[بند]",$E$150))</f>
        <v>q419_43. شفاط؟</v>
      </c>
      <c r="P204" s="85" t="str">
        <f>CONCATENATE(N204, ". ", SUBSTITUTE($B$107, "[item]",$B$150))</f>
        <v>q419_43. Kitchen/Bathroom fan?</v>
      </c>
      <c r="Q204"/>
      <c r="R204"/>
      <c r="S204" s="30" t="str">
        <f t="shared" si="22"/>
        <v>data('valid_overall') == 1</v>
      </c>
      <c r="Y204" s="9" t="b">
        <v>1</v>
      </c>
      <c r="AA204" s="9"/>
      <c r="AB204" s="9"/>
      <c r="AC204"/>
    </row>
    <row r="205" spans="1:29" ht="30">
      <c r="E205" s="310"/>
      <c r="F205" s="310"/>
      <c r="K205" s="18"/>
      <c r="L205" s="21" t="s">
        <v>170</v>
      </c>
      <c r="M205" s="21" t="s">
        <v>140</v>
      </c>
      <c r="N205" s="21" t="str">
        <f t="shared" si="21"/>
        <v>q419_44</v>
      </c>
      <c r="O205" s="70" t="str">
        <f>CONCATENATE(N205, ". ", SUBSTITUTE($E$107, "[بند]",$E$151))</f>
        <v>q419_44. فلتر مياه؟</v>
      </c>
      <c r="P205" s="85" t="str">
        <f>CONCATENATE(N205, ". ", SUBSTITUTE($B$107, "[item]",$B$151))</f>
        <v>q419_44. Water filter?</v>
      </c>
      <c r="Q205"/>
      <c r="R205"/>
      <c r="S205" s="30" t="str">
        <f t="shared" si="22"/>
        <v>data('valid_overall') == 1</v>
      </c>
      <c r="Y205" s="9" t="b">
        <v>1</v>
      </c>
      <c r="AA205" s="9"/>
      <c r="AB205" s="9"/>
      <c r="AC205"/>
    </row>
    <row r="206" spans="1:29" ht="15">
      <c r="E206" s="310"/>
      <c r="F206" s="310"/>
      <c r="J206" s="18" t="s">
        <v>21</v>
      </c>
      <c r="K206" s="18"/>
      <c r="P206" s="85"/>
      <c r="Q206"/>
      <c r="R206"/>
      <c r="AA206" s="9"/>
      <c r="AB206" s="9"/>
      <c r="AC206"/>
    </row>
    <row r="207" spans="1:29" s="361" customFormat="1">
      <c r="A207" s="119"/>
      <c r="B207" s="354"/>
      <c r="C207" s="354"/>
      <c r="D207" s="355"/>
      <c r="E207" s="356"/>
      <c r="F207" s="356"/>
      <c r="G207" s="357"/>
      <c r="H207" s="357"/>
      <c r="I207" s="355"/>
      <c r="J207" s="122"/>
      <c r="K207" s="122"/>
      <c r="L207" s="122"/>
      <c r="M207" s="122"/>
      <c r="N207" s="122"/>
      <c r="O207" s="358"/>
      <c r="P207" s="359"/>
      <c r="Q207" s="360"/>
      <c r="R207" s="360"/>
      <c r="S207" s="359"/>
      <c r="T207" s="359"/>
      <c r="U207" s="359"/>
      <c r="V207" s="355"/>
      <c r="Z207" s="119"/>
      <c r="AA207" s="119"/>
      <c r="AB207" s="119"/>
      <c r="AC207" s="362"/>
    </row>
    <row r="208" spans="1:29" s="18" customFormat="1" ht="60">
      <c r="A208" s="18" t="str">
        <f>N208</f>
        <v>q420</v>
      </c>
      <c r="B208" s="67" t="s">
        <v>420</v>
      </c>
      <c r="C208" s="67"/>
      <c r="D208" s="127" t="str">
        <f>CONCATENATE(INDEX(choices!D:D,MATCH(M208,choices!A:A,0)),"
",IF(M208=INDEX(choices!A:A,MATCH(M208,choices!A:A,0)+1),INDEX(choices!D:D,MATCH(M208,choices!A:A,0)+1),""),IF(M208=INDEX(choices!A:A,MATCH(M208,choices!A:A,0)+1), "
",""),IF(M208=INDEX(choices!A:A,MATCH(M208,choices!A:A,0)+2),INDEX(choices!D:D,MATCH(M208,choices!A:A,0)+2),""),IF(M208=INDEX(choices!A:A,MATCH(M208,choices!A:A,0)+2), "
",""),IF(M208=INDEX(choices!A:A,MATCH(M208,choices!A:A,0)+3),INDEX(choices!D:D,MATCH(M208,choices!A:A,0)+3),""),IF(M208=INDEX(choices!A:A,MATCH(M208,choices!A:A,0)+3), "
",""),IF(M208=INDEX(choices!A:A,MATCH(M208,choices!A:A,0)+4),INDEX(choices!D:D,MATCH(M208,choices!A:A,0)+4),""),IF(M208=INDEX(choices!A:A,MATCH(M208,choices!A:A,0)+4), "
",""),IF(M208=INDEX(choices!A:A,MATCH(M208,choices!A:A,0)+5),INDEX(choices!D:D,MATCH(M208,choices!A:A,0)+5),""),IF(M208=INDEX(choices!A:A,MATCH(M208,choices!A:A,0)+5), "
",""),IF(M208=INDEX(choices!A:A,MATCH(M208,choices!A:A,0)+6),INDEX(choices!D:D,MATCH(M208,choices!A:A,0)+6),""),IF(M208=INDEX(choices!A:A,MATCH(M208,choices!A:A,0)+6), "
",""),IF(M208=INDEX(choices!A:A,MATCH(M208,choices!A:A,0)+7),INDEX(choices!D:D,MATCH(M208,choices!A:A,0)+7),""),IF(M208=INDEX(choices!A:A,MATCH(M208,choices!A:A,0)+7), "
",""),IF(M208=INDEX(choices!A:A,MATCH(M208,choices!A:A,0)+8),INDEX(choices!D:D,MATCH(M208,choices!A:A,0)+8),""),IF(M208=INDEX(choices!A:A,MATCH(M208,choices!A:A,0)+8), "
",""),IF(M208=INDEX(choices!A:A,MATCH(M208,choices!A:A,0)+9),INDEX(choices!D:D,MATCH(M208,choices!A:A,0)+9),""),IF(M208=INDEX(choices!A:A,MATCH(M208,choices!A:A,0)+9), "
",""),IF(M208=INDEX(choices!A:A,MATCH(M208,choices!A:A,0)+10),INDEX(choices!D:D,MATCH(M208,choices!A:A,0)+10),""),IF(M208=INDEX(choices!A:A,MATCH(M208,choices!A:A,0)+10), "
",""),IF(M208=INDEX(choices!A:A,MATCH(M208,choices!A:A,0)+11),INDEX(choices!D:D,MATCH(M208,choices!A:A,0)+11),""),IF(M208=INDEX(choices!A:A,MATCH(M208,choices!A:A,0)+11), "
",""),IF(M208=INDEX(choices!A:A,MATCH(M208,choices!A:A,0)+12),INDEX(choices!D:D,MATCH(M208,choices!A:A,0)+12),""),IF(M208=INDEX(choices!A:A,MATCH(M208,choices!A:A,0)+12), "
",""),IF(M208=INDEX(choices!A:A,MATCH(M208,choices!A:A,0)+13),INDEX(choices!D:D,MATCH(M208,choices!A:A,0)+13),""),IF(M208=INDEX(choices!A:A,MATCH(M208,choices!A:A,0)+13), "
",""),IF(M208=INDEX(choices!A:A,MATCH(M208,choices!A:A,0)+14),INDEX(choices!D:D,MATCH(M208,choices!A:A,0)+14),""),IF(M208=INDEX(choices!A:A,MATCH(M208,choices!A:A,0)+14), "
",""),IF(M208=INDEX(choices!A:A,MATCH(M208,choices!A:A,0)+15),INDEX(choices!D:D,MATCH(M208,choices!A:A,0)+15),""),IF(M208=INDEX(choices!A:A,MATCH(M208,choices!A:A,0)+15), "
",""),IF(M208=INDEX(choices!A:A,MATCH(M208,choices!A:A,0)+16),INDEX(choices!D:D,MATCH(M208,choices!A:A,0)+16),""),IF(M208=INDEX(choices!A:A,MATCH(M208,choices!A:A,0)+16), "
",""),IF(M208=INDEX(choices!A:A,MATCH(M208,choices!A:A,0)+17),INDEX(choices!D:D,MATCH(M208,choices!A:A,0)+17),""),IF(M208=INDEX(choices!A:A,MATCH(M208,choices!A:A,0)+17), "
",""),IF(M208=INDEX(choices!A:A,MATCH(M208,choices!A:A,0)+18),INDEX(choices!D:D,MATCH(M208,choices!A:A,0)+18),""),IF(M208=INDEX(choices!A:A,MATCH(M208,choices!A:A,0)+18), "
",""),IF(M208=INDEX(choices!A:A,MATCH(M208,choices!A:A,0)+19),INDEX(choices!D:D,MATCH(M208,choices!A:A,0)+19),""),IF(M208=INDEX(choices!A:A,MATCH(M208,choices!A:A,0)+19), "
",""),IF(M208=INDEX(choices!A:A,MATCH(M208,choices!A:A,0)+20),INDEX(choices!D:D,MATCH(M208,choices!A:A,0)+20),""),IF(M208=INDEX(choices!A:A,MATCH(M208,choices!A:A,0)+20), "
",""))</f>
        <v xml:space="preserve">1. Yes
2. No
</v>
      </c>
      <c r="E208" s="310" t="s">
        <v>1122</v>
      </c>
      <c r="F208" s="310"/>
      <c r="G208" s="67" t="str">
        <f>CONCATENATE(INDEX(choices!C:C,MATCH(M208,choices!A:A,0)),"
",IF(M208=INDEX(choices!A:A,MATCH(M208,choices!A:A,0)+1),INDEX(choices!C:C,MATCH(M208,choices!A:A,0)+1),""),IF(M208=INDEX(choices!A:A,MATCH(M208,choices!A:A,0)+1), "
",""),IF(M208=INDEX(choices!A:A,MATCH(M208,choices!A:A,0)+2),INDEX(choices!C:C,MATCH(M208,choices!A:A,0)+2),""),IF(M208=INDEX(choices!A:A,MATCH(M208,choices!A:A,0)+2), "
",""),IF(M208=INDEX(choices!A:A,MATCH(M208,choices!A:A,0)+3),INDEX(choices!C:C,MATCH(M208,choices!A:A,0)+3),""),IF(M208=INDEX(choices!A:A,MATCH(M208,choices!A:A,0)+3), "
",""),IF(M208=INDEX(choices!A:A,MATCH(M208,choices!A:A,0)+4),INDEX(choices!C:C,MATCH(M208,choices!A:A,0)+4),""),IF(M208=INDEX(choices!A:A,MATCH(M208,choices!A:A,0)+4), "
",""),IF(M208=INDEX(choices!A:A,MATCH(M208,choices!A:A,0)+5),INDEX(choices!C:C,MATCH(M208,choices!A:A,0)+5),""),IF(M208=INDEX(choices!A:A,MATCH(M208,choices!A:A,0)+5), "
",""),IF(M208=INDEX(choices!A:A,MATCH(M208,choices!A:A,0)+6),INDEX(choices!C:C,MATCH(M208,choices!A:A,0)+6),""),IF(M208=INDEX(choices!A:A,MATCH(M208,choices!A:A,0)+6), "
",""),IF(M208=INDEX(choices!A:A,MATCH(M208,choices!A:A,0)+7),INDEX(choices!C:C,MATCH(M208,choices!A:A,0)+7),""),IF(M208=INDEX(choices!A:A,MATCH(M208,choices!A:A,0)+7), "
",""),IF(M208=INDEX(choices!A:A,MATCH(M208,choices!A:A,0)+8),INDEX(choices!C:C,MATCH(M208,choices!A:A,0)+8),""),IF(M208=INDEX(choices!A:A,MATCH(M208,choices!A:A,0)+8), "
",""),IF(M208=INDEX(choices!A:A,MATCH(M208,choices!A:A,0)+9),INDEX(choices!C:C,MATCH(M208,choices!A:A,0)+9),""),IF(M208=INDEX(choices!A:A,MATCH(M208,choices!A:A,0)+9), "
",""),IF(M208=INDEX(choices!A:A,MATCH(M208,choices!A:A,0)+10),INDEX(choices!C:C,MATCH(M208,choices!A:A,0)+10),""),IF(M208=INDEX(choices!A:A,MATCH(M208,choices!A:A,0)+10), "
",""),IF(M208=INDEX(choices!A:A,MATCH(M208,choices!A:A,0)+11),INDEX(choices!C:C,MATCH(M208,choices!A:A,0)+11),""),IF(M208=INDEX(choices!A:A,MATCH(M208,choices!A:A,0)+11), "
",""),IF(M208=INDEX(choices!A:A,MATCH(M208,choices!A:A,0)+12),INDEX(choices!C:C,MATCH(M208,choices!A:A,0)+12),""),IF(M208=INDEX(choices!A:A,MATCH(M208,choices!A:A,0)+12), "
",""),IF(M208=INDEX(choices!A:A,MATCH(M208,choices!A:A,0)+13),INDEX(choices!C:C,MATCH(M208,choices!A:A,0)+13),""),IF(M208=INDEX(choices!A:A,MATCH(M208,choices!A:A,0)+13), "
",""),IF(M208=INDEX(choices!A:A,MATCH(M208,choices!A:A,0)+14),INDEX(choices!C:C,MATCH(M208,choices!A:A,0)+14),""),IF(M208=INDEX(choices!A:A,MATCH(M208,choices!A:A,0)+14), "
",""),IF(M208=INDEX(choices!A:A,MATCH(M208,choices!A:A,0)+15),INDEX(choices!C:C,MATCH(M208,choices!A:A,0)+15),""),IF(M208=INDEX(choices!A:A,MATCH(M208,choices!A:A,0)+15), "
",""),IF(M208=INDEX(choices!A:A,MATCH(M208,choices!A:A,0)+16),INDEX(choices!C:C,MATCH(M208,choices!A:A,0)+16),""),IF(M208=INDEX(choices!A:A,MATCH(M208,choices!A:A,0)+16), "
",""),IF(M208=INDEX(choices!A:A,MATCH(M208,choices!A:A,0)+17),INDEX(choices!C:C,MATCH(M208,choices!A:A,0)+17),""),IF(M208=INDEX(choices!A:A,MATCH(M208,choices!A:A,0)+17), "
",""),IF(M208=INDEX(choices!A:A,MATCH(M208,choices!A:A,0)+18),INDEX(choices!C:C,MATCH(M208,choices!A:A,0)+18),""),IF(M208=INDEX(choices!A:A,MATCH(M208,choices!A:A,0)+18), "
",""),IF(M208=INDEX(choices!A:A,MATCH(M208,choices!A:A,0)+19),INDEX(choices!C:C,MATCH(M208,choices!A:A,0)+19),""),IF(M208=INDEX(choices!A:A,MATCH(M208,choices!A:A,0)+19), "
",""),IF(M208=INDEX(choices!A:A,MATCH(M208,choices!A:A,0)+20),INDEX(choices!C:C,MATCH(M208,choices!A:A,0)+20),""),IF(M208=INDEX(choices!A:A,MATCH(M208,choices!A:A,0)+20), "
","")," ")</f>
        <v xml:space="preserve">1. نعم
2. لا
 </v>
      </c>
      <c r="H208" s="131" t="str">
        <f>CONCATENATE("If 2--&gt;",A230)</f>
        <v>If 2--&gt;q422</v>
      </c>
      <c r="I208" s="30">
        <f>I105+1</f>
        <v>420</v>
      </c>
      <c r="L208" s="18" t="s">
        <v>18</v>
      </c>
      <c r="M208" s="18" t="s">
        <v>17</v>
      </c>
      <c r="N208" s="18" t="str">
        <f>CONCATENATE("q", I208)</f>
        <v>q420</v>
      </c>
      <c r="O208" s="48" t="str">
        <f>CONCATENATE(I208,". ",E208)</f>
        <v xml:space="preserve">420. هل تقوم الأسرة بتشغيل أحداً للمساعدة؟ </v>
      </c>
      <c r="P208" s="127" t="str">
        <f>CONCATENATE(A208, ". ", B208)</f>
        <v xml:space="preserve">q420. Does the household employ any help? </v>
      </c>
      <c r="Q208" s="30"/>
      <c r="R208" s="30"/>
      <c r="S208" s="30" t="str">
        <f>CONCATENATE("data('valid_overall') == 1")</f>
        <v>data('valid_overall') == 1</v>
      </c>
      <c r="T208" s="30"/>
      <c r="U208" s="30"/>
      <c r="V208" s="157"/>
    </row>
    <row r="209" spans="1:25" s="18" customFormat="1">
      <c r="B209" s="131"/>
      <c r="C209" s="131"/>
      <c r="D209" s="30"/>
      <c r="E209" s="310"/>
      <c r="F209" s="310"/>
      <c r="G209" s="131"/>
      <c r="H209" s="131"/>
      <c r="I209" s="30"/>
      <c r="J209" s="139" t="s">
        <v>51</v>
      </c>
      <c r="K209" s="18" t="str">
        <f>CONCATENATE("selected(data('",N208,"'), '1')")</f>
        <v>selected(data('q420'), '1')</v>
      </c>
      <c r="O209" s="70"/>
      <c r="P209" s="30"/>
      <c r="Q209" s="30"/>
      <c r="R209" s="30"/>
      <c r="S209" s="30"/>
      <c r="T209" s="30"/>
      <c r="U209" s="30"/>
      <c r="V209" s="157"/>
      <c r="Y209" s="18" t="b">
        <v>1</v>
      </c>
    </row>
    <row r="210" spans="1:25" s="18" customFormat="1" ht="60">
      <c r="A210" s="18" t="str">
        <f>N210</f>
        <v>q420_1</v>
      </c>
      <c r="B210" s="131" t="s">
        <v>421</v>
      </c>
      <c r="C210" s="131"/>
      <c r="D210" s="30"/>
      <c r="E210" s="310" t="s">
        <v>1123</v>
      </c>
      <c r="F210" s="310"/>
      <c r="G210" s="131"/>
      <c r="H210" s="131"/>
      <c r="I210" s="166" t="str">
        <f>CONCATENATE(I208,"_1")</f>
        <v>420_1</v>
      </c>
      <c r="L210" s="18" t="s">
        <v>19</v>
      </c>
      <c r="N210" s="18" t="str">
        <f>CONCATENATE("q", I210)</f>
        <v>q420_1</v>
      </c>
      <c r="O210" s="48" t="str">
        <f>CONCATENATE(I210,". ",E210)</f>
        <v>420_1. عدد المشتغلين للمساعدة:</v>
      </c>
      <c r="P210" s="127" t="str">
        <f>CONCATENATE(A210, ". ", B210)</f>
        <v>q420_1. Number of people employed:</v>
      </c>
      <c r="Q210" s="30"/>
      <c r="R210" s="30"/>
      <c r="S210" s="127" t="str">
        <f>CONCATENATE("data('valid_overall') == 1 &amp;&amp; ",K209)</f>
        <v>data('valid_overall') == 1 &amp;&amp; selected(data('q420'), '1')</v>
      </c>
      <c r="T210" s="127"/>
      <c r="U210" s="127"/>
      <c r="V210" s="30"/>
      <c r="Y210" s="18" t="b">
        <v>1</v>
      </c>
    </row>
    <row r="211" spans="1:25" s="18" customFormat="1">
      <c r="B211" s="131"/>
      <c r="C211" s="131"/>
      <c r="D211" s="30"/>
      <c r="E211" s="310"/>
      <c r="F211" s="310"/>
      <c r="G211" s="131"/>
      <c r="H211" s="131"/>
      <c r="I211" s="166"/>
      <c r="J211" s="88" t="s">
        <v>42</v>
      </c>
      <c r="O211" s="48"/>
      <c r="P211" s="127"/>
      <c r="Q211" s="30"/>
      <c r="R211" s="30"/>
      <c r="S211" s="127"/>
      <c r="T211" s="127"/>
      <c r="U211" s="127"/>
      <c r="V211" s="30"/>
    </row>
    <row r="212" spans="1:25" s="18" customFormat="1">
      <c r="B212" s="131"/>
      <c r="C212" s="131"/>
      <c r="D212" s="30"/>
      <c r="E212" s="310"/>
      <c r="F212" s="310"/>
      <c r="G212" s="131"/>
      <c r="H212" s="131"/>
      <c r="I212" s="166"/>
      <c r="J212" s="139" t="s">
        <v>51</v>
      </c>
      <c r="K212" s="18" t="str">
        <f>CONCATENATE("selected(data('",N208,"'), '1')")</f>
        <v>selected(data('q420'), '1')</v>
      </c>
      <c r="O212" s="48"/>
      <c r="P212" s="127"/>
      <c r="Q212" s="30"/>
      <c r="R212" s="30"/>
      <c r="S212" s="127"/>
      <c r="T212" s="127"/>
      <c r="U212" s="127"/>
      <c r="V212" s="30"/>
    </row>
    <row r="213" spans="1:25" s="18" customFormat="1">
      <c r="B213" s="131"/>
      <c r="C213" s="131"/>
      <c r="D213" s="30"/>
      <c r="E213" s="310"/>
      <c r="F213" s="310"/>
      <c r="G213" s="131"/>
      <c r="H213" s="131"/>
      <c r="I213" s="166"/>
      <c r="J213" s="18" t="s">
        <v>20</v>
      </c>
      <c r="O213" s="48"/>
      <c r="P213" s="127"/>
      <c r="Q213" s="30"/>
      <c r="R213" s="30"/>
      <c r="S213" s="127"/>
      <c r="T213" s="127"/>
      <c r="U213" s="127"/>
      <c r="V213" s="30"/>
    </row>
    <row r="214" spans="1:25" s="18" customFormat="1" ht="90">
      <c r="B214" s="131" t="s">
        <v>422</v>
      </c>
      <c r="C214" s="131"/>
      <c r="D214" s="31"/>
      <c r="E214" s="310" t="s">
        <v>1124</v>
      </c>
      <c r="F214" s="310"/>
      <c r="G214" s="129"/>
      <c r="H214" s="129" t="s">
        <v>464</v>
      </c>
      <c r="I214" s="30"/>
      <c r="L214" s="18" t="s">
        <v>60</v>
      </c>
      <c r="M214" s="18" t="s">
        <v>209</v>
      </c>
      <c r="N214" s="111"/>
      <c r="O214" s="48" t="str">
        <f>CONCATENATE(E214)</f>
        <v>أضف الأفراد الذين توظفهم أسرتك للمساعدة (حتى 5 أشخاص)</v>
      </c>
      <c r="P214" s="127" t="str">
        <f>CONCATENATE(B214)</f>
        <v>Add the individuals your household employs (up to 5 people)</v>
      </c>
      <c r="Q214" s="30"/>
      <c r="R214" s="30"/>
      <c r="S214" s="30"/>
      <c r="T214" s="30"/>
      <c r="U214" s="30"/>
      <c r="V214" s="30"/>
      <c r="Y214" s="18" t="b">
        <v>1</v>
      </c>
    </row>
    <row r="215" spans="1:25" s="18" customFormat="1">
      <c r="B215" s="131"/>
      <c r="C215" s="131"/>
      <c r="D215" s="31"/>
      <c r="E215" s="310"/>
      <c r="F215" s="310"/>
      <c r="G215" s="129"/>
      <c r="H215" s="129"/>
      <c r="I215" s="30"/>
      <c r="N215" s="111"/>
      <c r="O215" s="48"/>
      <c r="P215" s="127"/>
      <c r="Q215" s="30"/>
      <c r="R215" s="30"/>
      <c r="S215" s="30"/>
      <c r="T215" s="30"/>
      <c r="U215" s="30"/>
      <c r="V215" s="30"/>
    </row>
    <row r="216" spans="1:25" s="18" customFormat="1" ht="15">
      <c r="B216" s="131"/>
      <c r="C216" s="131"/>
      <c r="D216" s="31"/>
      <c r="E216" s="310"/>
      <c r="F216" s="310"/>
      <c r="G216" s="129"/>
      <c r="H216" s="129"/>
      <c r="I216" s="30"/>
      <c r="L216" s="152" t="s">
        <v>376</v>
      </c>
      <c r="M216" s="153" t="s">
        <v>465</v>
      </c>
      <c r="N216" s="152" t="s">
        <v>512</v>
      </c>
      <c r="O216" s="48"/>
      <c r="P216" s="127"/>
      <c r="Q216" s="30"/>
      <c r="R216" s="30"/>
      <c r="S216" s="30"/>
      <c r="T216" s="30"/>
      <c r="U216" s="30"/>
      <c r="V216" s="30"/>
      <c r="Y216" s="18" t="b">
        <v>1</v>
      </c>
    </row>
    <row r="217" spans="1:25" s="18" customFormat="1" ht="15">
      <c r="B217" s="131"/>
      <c r="C217" s="131"/>
      <c r="D217" s="31"/>
      <c r="E217" s="310"/>
      <c r="F217" s="310"/>
      <c r="G217" s="129"/>
      <c r="H217" s="129"/>
      <c r="I217" s="30"/>
      <c r="L217" s="152" t="s">
        <v>376</v>
      </c>
      <c r="M217" s="153" t="s">
        <v>466</v>
      </c>
      <c r="N217" s="152" t="s">
        <v>513</v>
      </c>
      <c r="O217" s="48"/>
      <c r="P217" s="127"/>
      <c r="Q217" s="30"/>
      <c r="R217" s="30"/>
      <c r="S217" s="30"/>
      <c r="T217" s="30"/>
      <c r="U217" s="30"/>
      <c r="Y217" s="18" t="b">
        <v>1</v>
      </c>
    </row>
    <row r="218" spans="1:25" s="18" customFormat="1" ht="15">
      <c r="B218" s="131"/>
      <c r="C218" s="131"/>
      <c r="D218" s="31"/>
      <c r="E218" s="310"/>
      <c r="F218" s="310"/>
      <c r="G218" s="129"/>
      <c r="H218" s="129"/>
      <c r="I218" s="30"/>
      <c r="J218" s="18" t="s">
        <v>21</v>
      </c>
      <c r="L218" s="152"/>
      <c r="M218" s="153"/>
      <c r="N218" s="152"/>
      <c r="O218" s="48"/>
      <c r="P218" s="127"/>
      <c r="Q218" s="30"/>
      <c r="R218" s="30"/>
      <c r="S218" s="30"/>
      <c r="T218" s="30"/>
      <c r="U218" s="30"/>
    </row>
    <row r="219" spans="1:25" s="18" customFormat="1" ht="15">
      <c r="B219" s="131"/>
      <c r="C219" s="131"/>
      <c r="D219" s="31"/>
      <c r="E219" s="310"/>
      <c r="F219" s="310"/>
      <c r="G219" s="129"/>
      <c r="H219" s="129"/>
      <c r="I219" s="30"/>
      <c r="J219" s="139" t="s">
        <v>24</v>
      </c>
      <c r="L219" s="152"/>
      <c r="M219" s="153"/>
      <c r="N219" s="152"/>
      <c r="O219" s="48"/>
      <c r="P219" s="127"/>
      <c r="Q219" s="30"/>
      <c r="R219" s="30"/>
      <c r="S219" s="30"/>
      <c r="T219" s="30"/>
      <c r="U219" s="30"/>
    </row>
    <row r="220" spans="1:25" s="18" customFormat="1" ht="15">
      <c r="B220" s="131"/>
      <c r="C220" s="131"/>
      <c r="D220" s="31"/>
      <c r="E220" s="310"/>
      <c r="F220" s="310"/>
      <c r="G220" s="129"/>
      <c r="H220" s="129"/>
      <c r="I220" s="30"/>
      <c r="J220" s="139" t="s">
        <v>51</v>
      </c>
      <c r="K220" s="18" t="str">
        <f>CONCATENATE("selected(data('",N208,"'), '1')")</f>
        <v>selected(data('q420'), '1')</v>
      </c>
      <c r="L220" s="152"/>
      <c r="M220" s="153"/>
      <c r="N220" s="152"/>
      <c r="O220" s="48"/>
      <c r="P220" s="127"/>
      <c r="Q220" s="30"/>
      <c r="R220" s="30"/>
      <c r="S220" s="30"/>
      <c r="T220" s="30"/>
      <c r="U220" s="30"/>
    </row>
    <row r="221" spans="1:25" s="18" customFormat="1" ht="15">
      <c r="B221" s="131"/>
      <c r="C221" s="131"/>
      <c r="D221" s="31"/>
      <c r="E221" s="310"/>
      <c r="F221" s="310"/>
      <c r="G221" s="129"/>
      <c r="H221" s="129"/>
      <c r="I221" s="30"/>
      <c r="J221" s="18" t="s">
        <v>20</v>
      </c>
      <c r="L221" s="152"/>
      <c r="M221" s="153"/>
      <c r="N221" s="152"/>
      <c r="O221" s="48"/>
      <c r="P221" s="127"/>
      <c r="Q221" s="30"/>
      <c r="R221" s="30"/>
      <c r="S221" s="30"/>
      <c r="T221" s="30"/>
      <c r="U221" s="30"/>
      <c r="V221" s="30"/>
    </row>
    <row r="222" spans="1:25" s="18" customFormat="1" ht="165">
      <c r="B222" s="131" t="str">
        <f>CONCATENATE("You stated there were {{data.",N210, "}} employees. You started {{data.",N216,"}} employees and finished {{data.",N217,"}}")</f>
        <v>You stated there were {{data.q420_1}} employees. You started {{data.zhelp_count_1}} employees and finished {{data.zhelp_count_2}}</v>
      </c>
      <c r="C222" s="131"/>
      <c r="D222" s="31"/>
      <c r="E222" s="310" t="str">
        <f>CONCATENATE("ذكرت ان عدد المشتغلين: {{data.",N210, "}} . لقد بدات بعدد مشتغلين: {{data.",N216,"}}  وانتهيت إلى عدد مشتغلين: {{data.",N217,"}}")</f>
        <v>ذكرت ان عدد المشتغلين: {{data.q420_1}} . لقد بدات بعدد مشتغلين: {{data.zhelp_count_1}}  وانتهيت إلى عدد مشتغلين: {{data.zhelp_count_2}}</v>
      </c>
      <c r="F222" s="310"/>
      <c r="G222" s="129"/>
      <c r="H222" s="129"/>
      <c r="I222" s="30"/>
      <c r="L222" s="152" t="s">
        <v>22</v>
      </c>
      <c r="M222" s="153"/>
      <c r="N222" s="152"/>
      <c r="O222" s="48" t="str">
        <f>E222</f>
        <v>ذكرت ان عدد المشتغلين: {{data.q420_1}} . لقد بدات بعدد مشتغلين: {{data.zhelp_count_1}}  وانتهيت إلى عدد مشتغلين: {{data.zhelp_count_2}}</v>
      </c>
      <c r="P222" s="127" t="str">
        <f>B222</f>
        <v>You stated there were {{data.q420_1}} employees. You started {{data.zhelp_count_1}} employees and finished {{data.zhelp_count_2}}</v>
      </c>
      <c r="Q222" s="30"/>
      <c r="R222" s="30"/>
      <c r="S222" s="30"/>
      <c r="T222" s="30"/>
      <c r="U222" s="30"/>
      <c r="V222" s="30"/>
      <c r="Y222" s="18" t="b">
        <v>1</v>
      </c>
    </row>
    <row r="223" spans="1:25" s="18" customFormat="1" ht="75">
      <c r="B223" s="131"/>
      <c r="C223" s="48" t="str">
        <f>CONCATENATE("Constraints: ", X223)</f>
        <v>Constraints: Need to complete all employees (for up to 5)</v>
      </c>
      <c r="D223" s="31"/>
      <c r="E223" s="310"/>
      <c r="F223" s="48" t="str">
        <f>CONCATENATE("Constraints: ", W223)</f>
        <v>Constraints:  تحتاج إلى استكمال بيانات جميع المشتغلين (حتى 5 أشخاص)</v>
      </c>
      <c r="G223" s="129"/>
      <c r="H223" s="129"/>
      <c r="I223" s="30"/>
      <c r="L223" s="434" t="s">
        <v>18</v>
      </c>
      <c r="M223" s="71" t="s">
        <v>1594</v>
      </c>
      <c r="N223" s="152" t="s">
        <v>468</v>
      </c>
      <c r="O223" s="48"/>
      <c r="P223" s="127"/>
      <c r="Q223" s="30"/>
      <c r="R223" s="30"/>
      <c r="S223" s="30" t="str">
        <f>K220</f>
        <v>selected(data('q420'), '1')</v>
      </c>
      <c r="T223" s="30"/>
      <c r="U223" s="30"/>
      <c r="V223" s="30" t="str">
        <f>CONCATENATE("data('valid_overall') == 0 || selected(data('",N208,"'), '2') || (data('",N210,"') == data('",N217,"')) || (data('",N210,"') &gt;5 &amp;&amp; data('",N217,"') == 5)  ")</f>
        <v xml:space="preserve">data('valid_overall') == 0 || selected(data('q420'), '2') || (data('q420_1') == data('zhelp_count_2')) || (data('q420_1') &gt;5 &amp;&amp; data('zhelp_count_2') == 5)  </v>
      </c>
      <c r="W223" s="30" t="s">
        <v>1547</v>
      </c>
      <c r="X223" s="30" t="s">
        <v>467</v>
      </c>
      <c r="Y223" s="18" t="b">
        <v>1</v>
      </c>
    </row>
    <row r="224" spans="1:25" s="18" customFormat="1">
      <c r="B224" s="131"/>
      <c r="C224" s="131"/>
      <c r="D224" s="31"/>
      <c r="E224" s="310"/>
      <c r="F224" s="310"/>
      <c r="G224" s="129"/>
      <c r="H224" s="129"/>
      <c r="I224" s="30"/>
      <c r="N224" s="111"/>
      <c r="O224" s="48"/>
      <c r="P224" s="127"/>
      <c r="Q224" s="30"/>
      <c r="R224" s="30"/>
      <c r="S224" s="30"/>
      <c r="T224" s="30"/>
      <c r="U224" s="30"/>
      <c r="V224" s="30"/>
    </row>
    <row r="225" spans="1:29" s="19" customFormat="1">
      <c r="A225" s="18"/>
      <c r="B225" s="129"/>
      <c r="C225" s="129"/>
      <c r="D225" s="31"/>
      <c r="E225" s="310"/>
      <c r="F225" s="310"/>
      <c r="G225" s="129"/>
      <c r="H225" s="129"/>
      <c r="I225" s="31"/>
      <c r="J225" s="18" t="s">
        <v>21</v>
      </c>
      <c r="M225" s="16"/>
      <c r="O225" s="48"/>
      <c r="P225" s="31"/>
      <c r="Q225" s="31"/>
      <c r="R225" s="157"/>
      <c r="S225" s="31"/>
      <c r="T225" s="31"/>
      <c r="U225" s="31"/>
      <c r="V225" s="31"/>
      <c r="Y225" s="157" t="b">
        <v>1</v>
      </c>
      <c r="Z225" s="18"/>
    </row>
    <row r="226" spans="1:29" s="19" customFormat="1">
      <c r="A226" s="18"/>
      <c r="B226" s="129"/>
      <c r="C226" s="129"/>
      <c r="D226" s="31"/>
      <c r="E226" s="310"/>
      <c r="F226" s="310"/>
      <c r="G226" s="129"/>
      <c r="H226" s="129"/>
      <c r="I226" s="31"/>
      <c r="J226" s="88" t="s">
        <v>24</v>
      </c>
      <c r="M226" s="16"/>
      <c r="O226" s="48"/>
      <c r="P226" s="31"/>
      <c r="Q226" s="31"/>
      <c r="R226" s="157"/>
      <c r="S226" s="31"/>
      <c r="T226" s="31"/>
      <c r="U226" s="31"/>
      <c r="V226" s="31"/>
      <c r="Y226" s="157" t="b">
        <v>1</v>
      </c>
      <c r="Z226" s="18"/>
    </row>
    <row r="228" spans="1:29" s="18" customFormat="1">
      <c r="B228" s="131"/>
      <c r="C228" s="131"/>
      <c r="D228" s="30"/>
      <c r="E228" s="310"/>
      <c r="F228" s="310"/>
      <c r="G228" s="131"/>
      <c r="H228" s="131"/>
      <c r="I228" s="30"/>
      <c r="O228" s="70"/>
      <c r="P228" s="30"/>
      <c r="Q228" s="30"/>
      <c r="R228" s="30"/>
      <c r="S228" s="30"/>
      <c r="T228" s="30"/>
      <c r="U228" s="30"/>
      <c r="V228" s="157"/>
    </row>
    <row r="229" spans="1:29" s="18" customFormat="1">
      <c r="B229" s="131"/>
      <c r="C229" s="131"/>
      <c r="D229" s="30"/>
      <c r="E229" s="310"/>
      <c r="F229" s="310"/>
      <c r="G229" s="131"/>
      <c r="H229" s="131"/>
      <c r="I229" s="30"/>
      <c r="J229" s="18" t="s">
        <v>20</v>
      </c>
      <c r="O229" s="70"/>
      <c r="P229" s="30"/>
      <c r="Q229" s="30"/>
      <c r="R229" s="30"/>
      <c r="S229" s="30"/>
      <c r="T229" s="30"/>
      <c r="U229" s="30"/>
      <c r="V229" s="157"/>
      <c r="Y229" s="18" t="b">
        <v>1</v>
      </c>
    </row>
    <row r="230" spans="1:29" s="18" customFormat="1" ht="15">
      <c r="A230" s="18" t="str">
        <f>CONCATENATE("q", I230)</f>
        <v>q422</v>
      </c>
      <c r="B230" s="131" t="s">
        <v>476</v>
      </c>
      <c r="C230" s="131"/>
      <c r="D230" s="30"/>
      <c r="E230" s="310" t="s">
        <v>1125</v>
      </c>
      <c r="F230" s="310"/>
      <c r="G230" s="131"/>
      <c r="H230" s="131"/>
      <c r="I230" s="30">
        <v>422</v>
      </c>
      <c r="L230" s="21" t="s">
        <v>22</v>
      </c>
      <c r="M230" s="21"/>
      <c r="N230" s="21"/>
      <c r="O230" s="407" t="str">
        <f>CONCATENATE(I230,". ",E230)</f>
        <v>422. وسائل المواصلات</v>
      </c>
      <c r="P230" s="127" t="str">
        <f t="shared" ref="P230" si="23">CONCATENATE(A230, ". ", B230)</f>
        <v>q422. Transportation</v>
      </c>
      <c r="Q230" s="58"/>
      <c r="R230" s="58"/>
      <c r="S230" s="127"/>
      <c r="T230" s="127"/>
      <c r="U230" s="127"/>
      <c r="V230" s="30"/>
      <c r="W230" s="404"/>
      <c r="X230" s="404"/>
      <c r="Y230" s="404"/>
    </row>
    <row r="231" spans="1:29" s="18" customFormat="1" ht="270">
      <c r="A231" s="18" t="str">
        <f>N231</f>
        <v>q422_1a</v>
      </c>
      <c r="B231" s="131" t="s">
        <v>1198</v>
      </c>
      <c r="C231" s="131"/>
      <c r="D231" s="127" t="str">
        <f>CONCATENATE(INDEX(choices!D:D,MATCH(M231,choices!A:A,0)),"
",IF(M231=INDEX(choices!A:A,MATCH(M231,choices!A:A,0)+1),INDEX(choices!D:D,MATCH(M231,choices!A:A,0)+1),""),IF(M231=INDEX(choices!A:A,MATCH(M231,choices!A:A,0)+1), "
",""),IF(M231=INDEX(choices!A:A,MATCH(M231,choices!A:A,0)+2),INDEX(choices!D:D,MATCH(M231,choices!A:A,0)+2),""),IF(M231=INDEX(choices!A:A,MATCH(M231,choices!A:A,0)+2), "
",""),IF(M231=INDEX(choices!A:A,MATCH(M231,choices!A:A,0)+3),INDEX(choices!D:D,MATCH(M231,choices!A:A,0)+3),""),IF(M231=INDEX(choices!A:A,MATCH(M231,choices!A:A,0)+3), "
",""),IF(M231=INDEX(choices!A:A,MATCH(M231,choices!A:A,0)+4),INDEX(choices!D:D,MATCH(M231,choices!A:A,0)+4),""),IF(M231=INDEX(choices!A:A,MATCH(M231,choices!A:A,0)+4), "
",""),IF(M231=INDEX(choices!A:A,MATCH(M231,choices!A:A,0)+5),INDEX(choices!D:D,MATCH(M231,choices!A:A,0)+5),""),IF(M231=INDEX(choices!A:A,MATCH(M231,choices!A:A,0)+5), "
",""),IF(M231=INDEX(choices!A:A,MATCH(M231,choices!A:A,0)+6),INDEX(choices!D:D,MATCH(M231,choices!A:A,0)+6),""),IF(M231=INDEX(choices!A:A,MATCH(M231,choices!A:A,0)+6), "
",""),IF(M231=INDEX(choices!A:A,MATCH(M231,choices!A:A,0)+7),INDEX(choices!D:D,MATCH(M231,choices!A:A,0)+7),""),IF(M231=INDEX(choices!A:A,MATCH(M231,choices!A:A,0)+7), "
",""),IF(M231=INDEX(choices!A:A,MATCH(M231,choices!A:A,0)+8),INDEX(choices!D:D,MATCH(M231,choices!A:A,0)+8),""),IF(M231=INDEX(choices!A:A,MATCH(M231,choices!A:A,0)+8), "
",""),IF(M231=INDEX(choices!A:A,MATCH(M231,choices!A:A,0)+9),INDEX(choices!D:D,MATCH(M231,choices!A:A,0)+9),""),IF(M231=INDEX(choices!A:A,MATCH(M231,choices!A:A,0)+9), "
",""),IF(M231=INDEX(choices!A:A,MATCH(M231,choices!A:A,0)+10),INDEX(choices!D:D,MATCH(M231,choices!A:A,0)+10),""),IF(M231=INDEX(choices!A:A,MATCH(M231,choices!A:A,0)+10), "
",""),IF(M231=INDEX(choices!A:A,MATCH(M231,choices!A:A,0)+11),INDEX(choices!D:D,MATCH(M231,choices!A:A,0)+11),""),IF(M231=INDEX(choices!A:A,MATCH(M231,choices!A:A,0)+11), "
",""),IF(M231=INDEX(choices!A:A,MATCH(M231,choices!A:A,0)+12),INDEX(choices!D:D,MATCH(M231,choices!A:A,0)+12),""),IF(M231=INDEX(choices!A:A,MATCH(M231,choices!A:A,0)+12), "
",""),IF(M231=INDEX(choices!A:A,MATCH(M231,choices!A:A,0)+13),INDEX(choices!D:D,MATCH(M231,choices!A:A,0)+13),""),IF(M231=INDEX(choices!A:A,MATCH(M231,choices!A:A,0)+13), "
",""),IF(M231=INDEX(choices!A:A,MATCH(M231,choices!A:A,0)+14),INDEX(choices!D:D,MATCH(M231,choices!A:A,0)+14),""),IF(M231=INDEX(choices!A:A,MATCH(M231,choices!A:A,0)+14), "
",""),IF(M231=INDEX(choices!A:A,MATCH(M231,choices!A:A,0)+15),INDEX(choices!D:D,MATCH(M231,choices!A:A,0)+15),""),IF(M231=INDEX(choices!A:A,MATCH(M231,choices!A:A,0)+15), "
",""),IF(M231=INDEX(choices!A:A,MATCH(M231,choices!A:A,0)+16),INDEX(choices!D:D,MATCH(M231,choices!A:A,0)+16),""),IF(M231=INDEX(choices!A:A,MATCH(M231,choices!A:A,0)+16), "
",""),IF(M231=INDEX(choices!A:A,MATCH(M231,choices!A:A,0)+17),INDEX(choices!D:D,MATCH(M231,choices!A:A,0)+17),""),IF(M231=INDEX(choices!A:A,MATCH(M231,choices!A:A,0)+17), "
",""),IF(M231=INDEX(choices!A:A,MATCH(M231,choices!A:A,0)+18),INDEX(choices!D:D,MATCH(M231,choices!A:A,0)+18),""),IF(M231=INDEX(choices!A:A,MATCH(M231,choices!A:A,0)+18), "
",""),IF(M231=INDEX(choices!A:A,MATCH(M231,choices!A:A,0)+19),INDEX(choices!D:D,MATCH(M231,choices!A:A,0)+19),""),IF(M231=INDEX(choices!A:A,MATCH(M231,choices!A:A,0)+19), "
",""),IF(M231=INDEX(choices!A:A,MATCH(M231,choices!A:A,0)+20),INDEX(choices!D:D,MATCH(M231,choices!A:A,0)+20),""),IF(M231=INDEX(choices!A:A,MATCH(M231,choices!A:A,0)+20), "
",""))</f>
        <v xml:space="preserve">1. Walk
2. Public transportation
3. Microbus/Private minibus
4. Taxi
5. Toktok
6. Bike/motorcycle
7. Private car
8. School bus
9. Different modes 
97. Other
98. Don't know
</v>
      </c>
      <c r="E231" s="310" t="s">
        <v>1126</v>
      </c>
      <c r="F231" s="310"/>
      <c r="G231" s="67" t="str">
        <f>CONCATENATE(INDEX(choices!C:C,MATCH(M231,choices!A:A,0)),"
",IF(M231=INDEX(choices!A:A,MATCH(M231,choices!A:A,0)+1),INDEX(choices!C:C,MATCH(M231,choices!A:A,0)+1),""),IF(M231=INDEX(choices!A:A,MATCH(M231,choices!A:A,0)+1), "
",""),IF(M231=INDEX(choices!A:A,MATCH(M231,choices!A:A,0)+2),INDEX(choices!C:C,MATCH(M231,choices!A:A,0)+2),""),IF(M231=INDEX(choices!A:A,MATCH(M231,choices!A:A,0)+2), "
",""),IF(M231=INDEX(choices!A:A,MATCH(M231,choices!A:A,0)+3),INDEX(choices!C:C,MATCH(M231,choices!A:A,0)+3),""),IF(M231=INDEX(choices!A:A,MATCH(M231,choices!A:A,0)+3), "
",""),IF(M231=INDEX(choices!A:A,MATCH(M231,choices!A:A,0)+4),INDEX(choices!C:C,MATCH(M231,choices!A:A,0)+4),""),IF(M231=INDEX(choices!A:A,MATCH(M231,choices!A:A,0)+4), "
",""),IF(M231=INDEX(choices!A:A,MATCH(M231,choices!A:A,0)+5),INDEX(choices!C:C,MATCH(M231,choices!A:A,0)+5),""),IF(M231=INDEX(choices!A:A,MATCH(M231,choices!A:A,0)+5), "
",""),IF(M231=INDEX(choices!A:A,MATCH(M231,choices!A:A,0)+6),INDEX(choices!C:C,MATCH(M231,choices!A:A,0)+6),""),IF(M231=INDEX(choices!A:A,MATCH(M231,choices!A:A,0)+6), "
",""),IF(M231=INDEX(choices!A:A,MATCH(M231,choices!A:A,0)+7),INDEX(choices!C:C,MATCH(M231,choices!A:A,0)+7),""),IF(M231=INDEX(choices!A:A,MATCH(M231,choices!A:A,0)+7), "
",""),IF(M231=INDEX(choices!A:A,MATCH(M231,choices!A:A,0)+8),INDEX(choices!C:C,MATCH(M231,choices!A:A,0)+8),""),IF(M231=INDEX(choices!A:A,MATCH(M231,choices!A:A,0)+8), "
",""),IF(M231=INDEX(choices!A:A,MATCH(M231,choices!A:A,0)+9),INDEX(choices!C:C,MATCH(M231,choices!A:A,0)+9),""),IF(M231=INDEX(choices!A:A,MATCH(M231,choices!A:A,0)+9), "
",""),IF(M231=INDEX(choices!A:A,MATCH(M231,choices!A:A,0)+10),INDEX(choices!C:C,MATCH(M231,choices!A:A,0)+10),""),IF(M231=INDEX(choices!A:A,MATCH(M231,choices!A:A,0)+10), "
",""),IF(M231=INDEX(choices!A:A,MATCH(M231,choices!A:A,0)+11),INDEX(choices!C:C,MATCH(M231,choices!A:A,0)+11),""),IF(M231=INDEX(choices!A:A,MATCH(M231,choices!A:A,0)+11), "
",""),IF(M231=INDEX(choices!A:A,MATCH(M231,choices!A:A,0)+12),INDEX(choices!C:C,MATCH(M231,choices!A:A,0)+12),""),IF(M231=INDEX(choices!A:A,MATCH(M231,choices!A:A,0)+12), "
",""),IF(M231=INDEX(choices!A:A,MATCH(M231,choices!A:A,0)+13),INDEX(choices!C:C,MATCH(M231,choices!A:A,0)+13),""),IF(M231=INDEX(choices!A:A,MATCH(M231,choices!A:A,0)+13), "
",""),IF(M231=INDEX(choices!A:A,MATCH(M231,choices!A:A,0)+14),INDEX(choices!C:C,MATCH(M231,choices!A:A,0)+14),""),IF(M231=INDEX(choices!A:A,MATCH(M231,choices!A:A,0)+14), "
",""),IF(M231=INDEX(choices!A:A,MATCH(M231,choices!A:A,0)+15),INDEX(choices!C:C,MATCH(M231,choices!A:A,0)+15),""),IF(M231=INDEX(choices!A:A,MATCH(M231,choices!A:A,0)+15), "
",""),IF(M231=INDEX(choices!A:A,MATCH(M231,choices!A:A,0)+16),INDEX(choices!C:C,MATCH(M231,choices!A:A,0)+16),""),IF(M231=INDEX(choices!A:A,MATCH(M231,choices!A:A,0)+16), "
",""),IF(M231=INDEX(choices!A:A,MATCH(M231,choices!A:A,0)+17),INDEX(choices!C:C,MATCH(M231,choices!A:A,0)+17),""),IF(M231=INDEX(choices!A:A,MATCH(M231,choices!A:A,0)+17), "
",""),IF(M231=INDEX(choices!A:A,MATCH(M231,choices!A:A,0)+18),INDEX(choices!C:C,MATCH(M231,choices!A:A,0)+18),""),IF(M231=INDEX(choices!A:A,MATCH(M231,choices!A:A,0)+18), "
",""),IF(M231=INDEX(choices!A:A,MATCH(M231,choices!A:A,0)+19),INDEX(choices!C:C,MATCH(M231,choices!A:A,0)+19),""),IF(M231=INDEX(choices!A:A,MATCH(M231,choices!A:A,0)+19), "
",""),IF(M231=INDEX(choices!A:A,MATCH(M231,choices!A:A,0)+20),INDEX(choices!C:C,MATCH(M231,choices!A:A,0)+20),""),IF(M231=INDEX(choices!A:A,MATCH(M231,choices!A:A,0)+20), "
","")," ")</f>
        <v xml:space="preserve">1. المشي  
2. مواصلات عامة
3. ميكروباص/مينى باص خاص  
4. تاكسي 
5. توك توك
6.  دراجة / موتوسيكل
7. سيارة خاصة
8. أتوبيس المدرسة
 9. وسائل مختلفة
97. أخرى
98. لا أعرف
 </v>
      </c>
      <c r="H231" s="131"/>
      <c r="I231" s="30" t="str">
        <f>CONCATENATE(I230,"_1", "a")</f>
        <v>422_1a</v>
      </c>
      <c r="L231" s="18" t="s">
        <v>18</v>
      </c>
      <c r="M231" s="18" t="s">
        <v>36</v>
      </c>
      <c r="N231" s="18" t="str">
        <f>CONCATENATE(A230,"_1", "a")</f>
        <v>q422_1a</v>
      </c>
      <c r="O231" s="86" t="str">
        <f>CONCATENATE(I231,". ",E231)</f>
        <v xml:space="preserve">422_1a. ما هي وسيلة المواصلات الأكثر استخداما للذهاب إلى المدرسة الابتدائية؟ </v>
      </c>
      <c r="P231" s="127" t="str">
        <f>CONCATENATE(I231, ". ", B231)</f>
        <v>422_1a. What is the most used type of transportation to primary school?</v>
      </c>
      <c r="Q231" s="30"/>
      <c r="R231" s="117"/>
      <c r="S231" s="127" t="str">
        <f>'1_0_statistical_identification'!S164</f>
        <v>(data('valid_overall') == 1)</v>
      </c>
      <c r="T231" s="127"/>
      <c r="U231" s="127"/>
      <c r="V231" s="30"/>
      <c r="Y231" s="18" t="b">
        <v>1</v>
      </c>
    </row>
    <row r="232" spans="1:29" s="18" customFormat="1" ht="60">
      <c r="A232" s="18" t="str">
        <f>N232</f>
        <v>q422_1b</v>
      </c>
      <c r="B232" s="131" t="s">
        <v>423</v>
      </c>
      <c r="C232" s="48" t="str">
        <f>CONCATENATE("Hints: ", R232)</f>
        <v>Hints: in minutes 
998 if don't know</v>
      </c>
      <c r="D232" s="58" t="s">
        <v>472</v>
      </c>
      <c r="E232" s="310" t="s">
        <v>1127</v>
      </c>
      <c r="F232" s="48" t="str">
        <f>CONCATENATE("Hints: ",Q232, )</f>
        <v>Hints: في دقائق
998 لا أعرف</v>
      </c>
      <c r="G232" s="70" t="s">
        <v>473</v>
      </c>
      <c r="H232" s="131"/>
      <c r="I232" s="30" t="str">
        <f>CONCATENATE(I230, "_1", "b")</f>
        <v>422_1b</v>
      </c>
      <c r="L232" s="18" t="s">
        <v>19</v>
      </c>
      <c r="N232" s="18" t="str">
        <f>CONCATENATE(A230, "_1", "b")</f>
        <v>q422_1b</v>
      </c>
      <c r="O232" s="86" t="str">
        <f>CONCATENATE(I232,". ",E232)</f>
        <v xml:space="preserve">422_1b. ما هى مدة الرحلة؟ </v>
      </c>
      <c r="P232" s="127" t="str">
        <f>CONCATENATE(I232, ". ", B232)</f>
        <v xml:space="preserve">422_1b.  Length of trip </v>
      </c>
      <c r="Q232" s="70" t="str">
        <f>G232</f>
        <v>في دقائق
998 لا أعرف</v>
      </c>
      <c r="R232" s="117" t="str">
        <f>D232</f>
        <v>in minutes 
998 if don't know</v>
      </c>
      <c r="S232" s="127" t="str">
        <f>'1_0_statistical_identification'!S164</f>
        <v>(data('valid_overall') == 1)</v>
      </c>
      <c r="T232" s="127"/>
      <c r="U232" s="127"/>
      <c r="V232" s="30"/>
      <c r="Y232" s="8" t="b">
        <v>1</v>
      </c>
    </row>
    <row r="233" spans="1:29" s="1" customFormat="1" ht="45">
      <c r="A233" s="14"/>
      <c r="B233" s="129"/>
      <c r="C233" s="129"/>
      <c r="D233" s="28"/>
      <c r="E233" s="129"/>
      <c r="F233" s="129"/>
      <c r="G233" s="28"/>
      <c r="H233" s="133"/>
      <c r="I233" s="28"/>
      <c r="J233" s="43" t="s">
        <v>23</v>
      </c>
      <c r="K233" s="28" t="str">
        <f>CONCATENATE("selected (data('",A231,"'), '97')")</f>
        <v>selected (data('q422_1a'), '97')</v>
      </c>
      <c r="L233" s="19"/>
      <c r="M233" s="12"/>
      <c r="N233" s="14"/>
      <c r="O233" s="48"/>
      <c r="P233" s="31"/>
      <c r="Q233" s="28"/>
      <c r="R233" s="28"/>
      <c r="S233" s="31"/>
      <c r="T233" s="31"/>
      <c r="U233" s="31"/>
      <c r="V233" s="28"/>
      <c r="Y233" s="14"/>
      <c r="Z233" s="161"/>
      <c r="AA233" s="19"/>
      <c r="AB233" s="19"/>
      <c r="AC233" s="14"/>
    </row>
    <row r="234" spans="1:29" s="1" customFormat="1" ht="75">
      <c r="A234" s="14" t="str">
        <f>CONCATENATE("q",I234)</f>
        <v>q422_1b_other</v>
      </c>
      <c r="B234" s="129" t="s">
        <v>393</v>
      </c>
      <c r="C234" s="129"/>
      <c r="D234" s="28"/>
      <c r="E234" s="129" t="s">
        <v>1088</v>
      </c>
      <c r="F234" s="129"/>
      <c r="G234" s="133"/>
      <c r="H234" s="133"/>
      <c r="I234" s="28" t="str">
        <f>CONCATENATE(I232,"_other")</f>
        <v>422_1b_other</v>
      </c>
      <c r="J234" s="43"/>
      <c r="K234" s="28"/>
      <c r="L234" s="19" t="s">
        <v>8</v>
      </c>
      <c r="M234" s="12"/>
      <c r="N234" s="14" t="str">
        <f>CONCATENATE("q",I234)</f>
        <v>q422_1b_other</v>
      </c>
      <c r="O234" s="86" t="str">
        <f>CONCATENATE(I234,". ",E234)</f>
        <v>422_1b_other. أخرى</v>
      </c>
      <c r="P234" s="86" t="str">
        <f>CONCATENATE($I234,". ",B234)</f>
        <v xml:space="preserve">422_1b_other. Other: </v>
      </c>
      <c r="Q234" s="28"/>
      <c r="R234" s="28"/>
      <c r="S234" s="86" t="str">
        <f>CONCATENATE(K233, " &amp;&amp; ", '1_0_statistical_identification'!$S$164)</f>
        <v>selected (data('q422_1a'), '97') &amp;&amp; (data('valid_overall') == 1)</v>
      </c>
      <c r="T234" s="86"/>
      <c r="U234" s="86"/>
      <c r="V234" s="28"/>
      <c r="Y234" s="14" t="b">
        <v>1</v>
      </c>
      <c r="Z234" s="161"/>
      <c r="AA234" s="19"/>
      <c r="AB234" s="19"/>
      <c r="AC234" s="14"/>
    </row>
    <row r="235" spans="1:29" s="1" customFormat="1" ht="15">
      <c r="A235" s="14"/>
      <c r="B235" s="129"/>
      <c r="C235" s="129"/>
      <c r="D235" s="28"/>
      <c r="E235" s="129"/>
      <c r="F235" s="129"/>
      <c r="G235" s="133"/>
      <c r="H235" s="134"/>
      <c r="I235" s="28"/>
      <c r="J235" s="43" t="s">
        <v>24</v>
      </c>
      <c r="K235" s="28"/>
      <c r="L235" s="19"/>
      <c r="M235" s="12"/>
      <c r="N235" s="14"/>
      <c r="O235" s="48"/>
      <c r="P235" s="31"/>
      <c r="Q235" s="28"/>
      <c r="R235" s="28"/>
      <c r="S235" s="31"/>
      <c r="T235" s="31"/>
      <c r="U235" s="31"/>
      <c r="V235" s="28"/>
      <c r="Y235" s="14"/>
      <c r="Z235" s="161"/>
      <c r="AA235" s="19"/>
      <c r="AB235" s="19"/>
      <c r="AC235" s="14"/>
    </row>
    <row r="236" spans="1:29" s="18" customFormat="1" ht="15">
      <c r="B236" s="131"/>
      <c r="C236" s="131"/>
      <c r="D236" s="30"/>
      <c r="E236" s="310"/>
      <c r="F236" s="310"/>
      <c r="G236" s="131"/>
      <c r="H236" s="131"/>
      <c r="I236" s="30"/>
      <c r="J236" s="18" t="s">
        <v>21</v>
      </c>
      <c r="O236" s="70"/>
      <c r="P236" s="30"/>
      <c r="Q236" s="30"/>
      <c r="R236" s="117"/>
      <c r="S236" s="30"/>
      <c r="T236" s="30"/>
      <c r="U236" s="30"/>
      <c r="V236" s="30"/>
      <c r="Y236" s="18" t="b">
        <v>1</v>
      </c>
    </row>
    <row r="237" spans="1:29" s="18" customFormat="1" ht="15">
      <c r="B237" s="131"/>
      <c r="C237" s="131"/>
      <c r="D237" s="30"/>
      <c r="E237" s="310"/>
      <c r="F237" s="310"/>
      <c r="G237" s="131"/>
      <c r="H237" s="131"/>
      <c r="I237" s="30"/>
      <c r="J237" s="18" t="s">
        <v>20</v>
      </c>
      <c r="O237" s="70"/>
      <c r="P237" s="30"/>
      <c r="Q237" s="30"/>
      <c r="R237" s="117"/>
      <c r="S237" s="30"/>
      <c r="T237" s="30"/>
      <c r="U237" s="30"/>
      <c r="V237" s="30"/>
      <c r="Y237" s="18" t="b">
        <v>1</v>
      </c>
    </row>
    <row r="238" spans="1:29" s="18" customFormat="1" ht="270">
      <c r="A238" s="18" t="str">
        <f>N238</f>
        <v>q422_2a</v>
      </c>
      <c r="B238" s="131" t="s">
        <v>1199</v>
      </c>
      <c r="C238" s="131"/>
      <c r="D238" s="127" t="str">
        <f>CONCATENATE(INDEX(choices!D:D,MATCH(M238,choices!A:A,0)),"
",IF(M238=INDEX(choices!A:A,MATCH(M238,choices!A:A,0)+1),INDEX(choices!D:D,MATCH(M238,choices!A:A,0)+1),""),IF(M238=INDEX(choices!A:A,MATCH(M238,choices!A:A,0)+1), "
",""),IF(M238=INDEX(choices!A:A,MATCH(M238,choices!A:A,0)+2),INDEX(choices!D:D,MATCH(M238,choices!A:A,0)+2),""),IF(M238=INDEX(choices!A:A,MATCH(M238,choices!A:A,0)+2), "
",""),IF(M238=INDEX(choices!A:A,MATCH(M238,choices!A:A,0)+3),INDEX(choices!D:D,MATCH(M238,choices!A:A,0)+3),""),IF(M238=INDEX(choices!A:A,MATCH(M238,choices!A:A,0)+3), "
",""),IF(M238=INDEX(choices!A:A,MATCH(M238,choices!A:A,0)+4),INDEX(choices!D:D,MATCH(M238,choices!A:A,0)+4),""),IF(M238=INDEX(choices!A:A,MATCH(M238,choices!A:A,0)+4), "
",""),IF(M238=INDEX(choices!A:A,MATCH(M238,choices!A:A,0)+5),INDEX(choices!D:D,MATCH(M238,choices!A:A,0)+5),""),IF(M238=INDEX(choices!A:A,MATCH(M238,choices!A:A,0)+5), "
",""),IF(M238=INDEX(choices!A:A,MATCH(M238,choices!A:A,0)+6),INDEX(choices!D:D,MATCH(M238,choices!A:A,0)+6),""),IF(M238=INDEX(choices!A:A,MATCH(M238,choices!A:A,0)+6), "
",""),IF(M238=INDEX(choices!A:A,MATCH(M238,choices!A:A,0)+7),INDEX(choices!D:D,MATCH(M238,choices!A:A,0)+7),""),IF(M238=INDEX(choices!A:A,MATCH(M238,choices!A:A,0)+7), "
",""),IF(M238=INDEX(choices!A:A,MATCH(M238,choices!A:A,0)+8),INDEX(choices!D:D,MATCH(M238,choices!A:A,0)+8),""),IF(M238=INDEX(choices!A:A,MATCH(M238,choices!A:A,0)+8), "
",""),IF(M238=INDEX(choices!A:A,MATCH(M238,choices!A:A,0)+9),INDEX(choices!D:D,MATCH(M238,choices!A:A,0)+9),""),IF(M238=INDEX(choices!A:A,MATCH(M238,choices!A:A,0)+9), "
",""),IF(M238=INDEX(choices!A:A,MATCH(M238,choices!A:A,0)+10),INDEX(choices!D:D,MATCH(M238,choices!A:A,0)+10),""),IF(M238=INDEX(choices!A:A,MATCH(M238,choices!A:A,0)+10), "
",""),IF(M238=INDEX(choices!A:A,MATCH(M238,choices!A:A,0)+11),INDEX(choices!D:D,MATCH(M238,choices!A:A,0)+11),""),IF(M238=INDEX(choices!A:A,MATCH(M238,choices!A:A,0)+11), "
",""),IF(M238=INDEX(choices!A:A,MATCH(M238,choices!A:A,0)+12),INDEX(choices!D:D,MATCH(M238,choices!A:A,0)+12),""),IF(M238=INDEX(choices!A:A,MATCH(M238,choices!A:A,0)+12), "
",""),IF(M238=INDEX(choices!A:A,MATCH(M238,choices!A:A,0)+13),INDEX(choices!D:D,MATCH(M238,choices!A:A,0)+13),""),IF(M238=INDEX(choices!A:A,MATCH(M238,choices!A:A,0)+13), "
",""),IF(M238=INDEX(choices!A:A,MATCH(M238,choices!A:A,0)+14),INDEX(choices!D:D,MATCH(M238,choices!A:A,0)+14),""),IF(M238=INDEX(choices!A:A,MATCH(M238,choices!A:A,0)+14), "
",""),IF(M238=INDEX(choices!A:A,MATCH(M238,choices!A:A,0)+15),INDEX(choices!D:D,MATCH(M238,choices!A:A,0)+15),""),IF(M238=INDEX(choices!A:A,MATCH(M238,choices!A:A,0)+15), "
",""),IF(M238=INDEX(choices!A:A,MATCH(M238,choices!A:A,0)+16),INDEX(choices!D:D,MATCH(M238,choices!A:A,0)+16),""),IF(M238=INDEX(choices!A:A,MATCH(M238,choices!A:A,0)+16), "
",""),IF(M238=INDEX(choices!A:A,MATCH(M238,choices!A:A,0)+17),INDEX(choices!D:D,MATCH(M238,choices!A:A,0)+17),""),IF(M238=INDEX(choices!A:A,MATCH(M238,choices!A:A,0)+17), "
",""),IF(M238=INDEX(choices!A:A,MATCH(M238,choices!A:A,0)+18),INDEX(choices!D:D,MATCH(M238,choices!A:A,0)+18),""),IF(M238=INDEX(choices!A:A,MATCH(M238,choices!A:A,0)+18), "
",""),IF(M238=INDEX(choices!A:A,MATCH(M238,choices!A:A,0)+19),INDEX(choices!D:D,MATCH(M238,choices!A:A,0)+19),""),IF(M238=INDEX(choices!A:A,MATCH(M238,choices!A:A,0)+19), "
",""),IF(M238=INDEX(choices!A:A,MATCH(M238,choices!A:A,0)+20),INDEX(choices!D:D,MATCH(M238,choices!A:A,0)+20),""),IF(M238=INDEX(choices!A:A,MATCH(M238,choices!A:A,0)+20), "
",""))</f>
        <v xml:space="preserve">1. Walk
2. Public transportation
3. Microbus/Private minibus
4. Taxi
5. Toktok
6. Bike/motorcycle
7. Private car
8. School bus
9. Different modes 
97. Other
98. Don't know
</v>
      </c>
      <c r="E238" s="310" t="s">
        <v>1128</v>
      </c>
      <c r="F238" s="310"/>
      <c r="G238" s="67" t="str">
        <f>CONCATENATE(INDEX(choices!C:C,MATCH(M238,choices!A:A,0)),"
",IF(M238=INDEX(choices!A:A,MATCH(M238,choices!A:A,0)+1),INDEX(choices!C:C,MATCH(M238,choices!A:A,0)+1),""),IF(M238=INDEX(choices!A:A,MATCH(M238,choices!A:A,0)+1), "
",""),IF(M238=INDEX(choices!A:A,MATCH(M238,choices!A:A,0)+2),INDEX(choices!C:C,MATCH(M238,choices!A:A,0)+2),""),IF(M238=INDEX(choices!A:A,MATCH(M238,choices!A:A,0)+2), "
",""),IF(M238=INDEX(choices!A:A,MATCH(M238,choices!A:A,0)+3),INDEX(choices!C:C,MATCH(M238,choices!A:A,0)+3),""),IF(M238=INDEX(choices!A:A,MATCH(M238,choices!A:A,0)+3), "
",""),IF(M238=INDEX(choices!A:A,MATCH(M238,choices!A:A,0)+4),INDEX(choices!C:C,MATCH(M238,choices!A:A,0)+4),""),IF(M238=INDEX(choices!A:A,MATCH(M238,choices!A:A,0)+4), "
",""),IF(M238=INDEX(choices!A:A,MATCH(M238,choices!A:A,0)+5),INDEX(choices!C:C,MATCH(M238,choices!A:A,0)+5),""),IF(M238=INDEX(choices!A:A,MATCH(M238,choices!A:A,0)+5), "
",""),IF(M238=INDEX(choices!A:A,MATCH(M238,choices!A:A,0)+6),INDEX(choices!C:C,MATCH(M238,choices!A:A,0)+6),""),IF(M238=INDEX(choices!A:A,MATCH(M238,choices!A:A,0)+6), "
",""),IF(M238=INDEX(choices!A:A,MATCH(M238,choices!A:A,0)+7),INDEX(choices!C:C,MATCH(M238,choices!A:A,0)+7),""),IF(M238=INDEX(choices!A:A,MATCH(M238,choices!A:A,0)+7), "
",""),IF(M238=INDEX(choices!A:A,MATCH(M238,choices!A:A,0)+8),INDEX(choices!C:C,MATCH(M238,choices!A:A,0)+8),""),IF(M238=INDEX(choices!A:A,MATCH(M238,choices!A:A,0)+8), "
",""),IF(M238=INDEX(choices!A:A,MATCH(M238,choices!A:A,0)+9),INDEX(choices!C:C,MATCH(M238,choices!A:A,0)+9),""),IF(M238=INDEX(choices!A:A,MATCH(M238,choices!A:A,0)+9), "
",""),IF(M238=INDEX(choices!A:A,MATCH(M238,choices!A:A,0)+10),INDEX(choices!C:C,MATCH(M238,choices!A:A,0)+10),""),IF(M238=INDEX(choices!A:A,MATCH(M238,choices!A:A,0)+10), "
",""),IF(M238=INDEX(choices!A:A,MATCH(M238,choices!A:A,0)+11),INDEX(choices!C:C,MATCH(M238,choices!A:A,0)+11),""),IF(M238=INDEX(choices!A:A,MATCH(M238,choices!A:A,0)+11), "
",""),IF(M238=INDEX(choices!A:A,MATCH(M238,choices!A:A,0)+12),INDEX(choices!C:C,MATCH(M238,choices!A:A,0)+12),""),IF(M238=INDEX(choices!A:A,MATCH(M238,choices!A:A,0)+12), "
",""),IF(M238=INDEX(choices!A:A,MATCH(M238,choices!A:A,0)+13),INDEX(choices!C:C,MATCH(M238,choices!A:A,0)+13),""),IF(M238=INDEX(choices!A:A,MATCH(M238,choices!A:A,0)+13), "
",""),IF(M238=INDEX(choices!A:A,MATCH(M238,choices!A:A,0)+14),INDEX(choices!C:C,MATCH(M238,choices!A:A,0)+14),""),IF(M238=INDEX(choices!A:A,MATCH(M238,choices!A:A,0)+14), "
",""),IF(M238=INDEX(choices!A:A,MATCH(M238,choices!A:A,0)+15),INDEX(choices!C:C,MATCH(M238,choices!A:A,0)+15),""),IF(M238=INDEX(choices!A:A,MATCH(M238,choices!A:A,0)+15), "
",""),IF(M238=INDEX(choices!A:A,MATCH(M238,choices!A:A,0)+16),INDEX(choices!C:C,MATCH(M238,choices!A:A,0)+16),""),IF(M238=INDEX(choices!A:A,MATCH(M238,choices!A:A,0)+16), "
",""),IF(M238=INDEX(choices!A:A,MATCH(M238,choices!A:A,0)+17),INDEX(choices!C:C,MATCH(M238,choices!A:A,0)+17),""),IF(M238=INDEX(choices!A:A,MATCH(M238,choices!A:A,0)+17), "
",""),IF(M238=INDEX(choices!A:A,MATCH(M238,choices!A:A,0)+18),INDEX(choices!C:C,MATCH(M238,choices!A:A,0)+18),""),IF(M238=INDEX(choices!A:A,MATCH(M238,choices!A:A,0)+18), "
",""),IF(M238=INDEX(choices!A:A,MATCH(M238,choices!A:A,0)+19),INDEX(choices!C:C,MATCH(M238,choices!A:A,0)+19),""),IF(M238=INDEX(choices!A:A,MATCH(M238,choices!A:A,0)+19), "
",""),IF(M238=INDEX(choices!A:A,MATCH(M238,choices!A:A,0)+20),INDEX(choices!C:C,MATCH(M238,choices!A:A,0)+20),""),IF(M238=INDEX(choices!A:A,MATCH(M238,choices!A:A,0)+20), "
","")," ")</f>
        <v xml:space="preserve">1. المشي  
2. مواصلات عامة
3. ميكروباص/مينى باص خاص  
4. تاكسي 
5. توك توك
6.  دراجة / موتوسيكل
7. سيارة خاصة
8. أتوبيس المدرسة
 9. وسائل مختلفة
97. أخرى
98. لا أعرف
 </v>
      </c>
      <c r="H238" s="131"/>
      <c r="I238" s="30" t="str">
        <f>CONCATENATE(I230,"_2", "a")</f>
        <v>422_2a</v>
      </c>
      <c r="L238" s="18" t="s">
        <v>18</v>
      </c>
      <c r="M238" s="18" t="s">
        <v>36</v>
      </c>
      <c r="N238" s="18" t="str">
        <f>CONCATENATE(A230,"_2", "a")</f>
        <v>q422_2a</v>
      </c>
      <c r="O238" s="86" t="str">
        <f>CONCATENATE(I238,". ",E238)</f>
        <v xml:space="preserve">422_2a. ما هي وسيلة المواصلات الأكثر استخداما للذهاب إلى المدرسة الاعدادية؟ </v>
      </c>
      <c r="P238" s="127" t="str">
        <f>CONCATENATE(I238, ". ", B238)</f>
        <v>422_2a. What is the most used type of transportation to prepatory school?</v>
      </c>
      <c r="Q238" s="30"/>
      <c r="R238" s="117"/>
      <c r="S238" s="127" t="str">
        <f>'1_0_statistical_identification'!S164</f>
        <v>(data('valid_overall') == 1)</v>
      </c>
      <c r="T238" s="127"/>
      <c r="U238" s="127"/>
      <c r="V238" s="30"/>
      <c r="Y238" s="18" t="b">
        <v>1</v>
      </c>
    </row>
    <row r="239" spans="1:29" s="18" customFormat="1" ht="60">
      <c r="A239" s="18" t="str">
        <f>N239</f>
        <v>q422_2b</v>
      </c>
      <c r="B239" s="131" t="s">
        <v>423</v>
      </c>
      <c r="C239" s="48" t="str">
        <f>CONCATENATE("Hints: ", R239)</f>
        <v>Hints: in minutes 
998 if don't know</v>
      </c>
      <c r="D239" s="58" t="s">
        <v>472</v>
      </c>
      <c r="E239" s="310" t="s">
        <v>1127</v>
      </c>
      <c r="F239" s="48" t="str">
        <f>CONCATENATE("Hints: ",Q239, )</f>
        <v>Hints: في دقائق
998 لا أعرف</v>
      </c>
      <c r="G239" s="70" t="s">
        <v>473</v>
      </c>
      <c r="H239" s="131"/>
      <c r="I239" s="30" t="str">
        <f>CONCATENATE(I230, "_2", "b")</f>
        <v>422_2b</v>
      </c>
      <c r="L239" s="18" t="s">
        <v>19</v>
      </c>
      <c r="N239" s="18" t="str">
        <f>CONCATENATE(A230, "_2", "b")</f>
        <v>q422_2b</v>
      </c>
      <c r="O239" s="86" t="str">
        <f>CONCATENATE(I239,". ",E239)</f>
        <v xml:space="preserve">422_2b. ما هى مدة الرحلة؟ </v>
      </c>
      <c r="P239" s="127" t="str">
        <f>CONCATENATE(I239, ". ", B239)</f>
        <v xml:space="preserve">422_2b.  Length of trip </v>
      </c>
      <c r="Q239" s="70" t="str">
        <f>G239</f>
        <v>في دقائق
998 لا أعرف</v>
      </c>
      <c r="R239" s="117" t="str">
        <f>D239</f>
        <v>in minutes 
998 if don't know</v>
      </c>
      <c r="S239" s="127" t="str">
        <f>'1_0_statistical_identification'!S164</f>
        <v>(data('valid_overall') == 1)</v>
      </c>
      <c r="T239" s="127"/>
      <c r="U239" s="127"/>
      <c r="V239" s="30"/>
      <c r="Y239" s="8" t="b">
        <v>1</v>
      </c>
    </row>
    <row r="240" spans="1:29" s="1" customFormat="1" ht="45">
      <c r="A240" s="14"/>
      <c r="B240" s="129"/>
      <c r="C240" s="129"/>
      <c r="D240" s="28"/>
      <c r="E240" s="129"/>
      <c r="F240" s="129"/>
      <c r="G240" s="133"/>
      <c r="H240" s="133"/>
      <c r="I240" s="28"/>
      <c r="J240" s="43" t="s">
        <v>23</v>
      </c>
      <c r="K240" s="28" t="str">
        <f>CONCATENATE("selected (data('",A238,"'), '97')")</f>
        <v>selected (data('q422_2a'), '97')</v>
      </c>
      <c r="L240" s="19"/>
      <c r="M240" s="12"/>
      <c r="N240" s="14"/>
      <c r="O240" s="48"/>
      <c r="P240" s="31"/>
      <c r="Q240" s="28"/>
      <c r="R240" s="28"/>
      <c r="S240" s="31"/>
      <c r="T240" s="31"/>
      <c r="U240" s="31"/>
      <c r="V240" s="28"/>
      <c r="Y240" s="14"/>
      <c r="Z240" s="161"/>
      <c r="AA240" s="19"/>
      <c r="AB240" s="19"/>
      <c r="AC240" s="14"/>
    </row>
    <row r="241" spans="1:29" s="1" customFormat="1" ht="75">
      <c r="A241" s="14" t="str">
        <f>CONCATENATE("q",I241)</f>
        <v>q422_2b_other</v>
      </c>
      <c r="B241" s="129" t="s">
        <v>393</v>
      </c>
      <c r="C241" s="129"/>
      <c r="D241" s="28"/>
      <c r="E241" s="129" t="s">
        <v>1088</v>
      </c>
      <c r="F241" s="129"/>
      <c r="G241" s="133"/>
      <c r="H241" s="133"/>
      <c r="I241" s="28" t="str">
        <f>CONCATENATE(I239,"_other")</f>
        <v>422_2b_other</v>
      </c>
      <c r="J241" s="43"/>
      <c r="K241" s="28"/>
      <c r="L241" s="19" t="s">
        <v>8</v>
      </c>
      <c r="M241" s="12"/>
      <c r="N241" s="14" t="str">
        <f>CONCATENATE("q",I241)</f>
        <v>q422_2b_other</v>
      </c>
      <c r="O241" s="86" t="str">
        <f>CONCATENATE(I241,". ",E241)</f>
        <v>422_2b_other. أخرى</v>
      </c>
      <c r="P241" s="86" t="str">
        <f>CONCATENATE($I241,". ",B241)</f>
        <v xml:space="preserve">422_2b_other. Other: </v>
      </c>
      <c r="Q241" s="28"/>
      <c r="R241" s="28"/>
      <c r="S241" s="86" t="str">
        <f>CONCATENATE(K240, " &amp;&amp; ", '1_0_statistical_identification'!$S$164)</f>
        <v>selected (data('q422_2a'), '97') &amp;&amp; (data('valid_overall') == 1)</v>
      </c>
      <c r="T241" s="86"/>
      <c r="U241" s="86"/>
      <c r="V241" s="28"/>
      <c r="Y241" s="14" t="b">
        <v>1</v>
      </c>
      <c r="Z241" s="161"/>
      <c r="AA241" s="19"/>
      <c r="AB241" s="19"/>
      <c r="AC241" s="14"/>
    </row>
    <row r="242" spans="1:29" s="1" customFormat="1" ht="15">
      <c r="A242" s="14"/>
      <c r="B242" s="129"/>
      <c r="C242" s="129"/>
      <c r="D242" s="28"/>
      <c r="E242" s="129"/>
      <c r="F242" s="129"/>
      <c r="G242" s="133"/>
      <c r="H242" s="134"/>
      <c r="I242" s="28"/>
      <c r="J242" s="43" t="s">
        <v>24</v>
      </c>
      <c r="K242" s="28"/>
      <c r="L242" s="19"/>
      <c r="M242" s="12"/>
      <c r="N242" s="14"/>
      <c r="O242" s="48"/>
      <c r="P242" s="31"/>
      <c r="Q242" s="28"/>
      <c r="R242" s="28"/>
      <c r="S242" s="31"/>
      <c r="T242" s="31"/>
      <c r="U242" s="31"/>
      <c r="V242" s="28"/>
      <c r="Y242" s="14"/>
      <c r="Z242" s="161"/>
      <c r="AA242" s="19"/>
      <c r="AB242" s="19"/>
      <c r="AC242" s="14"/>
    </row>
    <row r="243" spans="1:29" s="18" customFormat="1" ht="15">
      <c r="B243" s="131"/>
      <c r="C243" s="131"/>
      <c r="D243" s="30"/>
      <c r="E243" s="310"/>
      <c r="F243" s="310"/>
      <c r="G243" s="131"/>
      <c r="H243" s="131"/>
      <c r="I243" s="30"/>
      <c r="J243" s="18" t="s">
        <v>21</v>
      </c>
      <c r="O243" s="70"/>
      <c r="P243" s="30"/>
      <c r="Q243" s="30"/>
      <c r="R243" s="117"/>
      <c r="S243" s="30"/>
      <c r="T243" s="30"/>
      <c r="U243" s="30"/>
      <c r="V243" s="30"/>
      <c r="Y243" s="18" t="b">
        <v>1</v>
      </c>
    </row>
    <row r="244" spans="1:29" s="18" customFormat="1" ht="15">
      <c r="B244" s="131"/>
      <c r="C244" s="131"/>
      <c r="D244" s="30"/>
      <c r="E244" s="310"/>
      <c r="F244" s="310"/>
      <c r="G244" s="131"/>
      <c r="H244" s="131"/>
      <c r="I244" s="30"/>
      <c r="J244" s="18" t="s">
        <v>20</v>
      </c>
      <c r="O244" s="70"/>
      <c r="P244" s="30"/>
      <c r="Q244" s="30"/>
      <c r="R244" s="117"/>
      <c r="S244" s="30"/>
      <c r="T244" s="30"/>
      <c r="U244" s="30"/>
      <c r="V244" s="30"/>
      <c r="Y244" s="18" t="b">
        <v>1</v>
      </c>
    </row>
    <row r="245" spans="1:29" s="18" customFormat="1" ht="270">
      <c r="A245" s="18" t="str">
        <f>N245</f>
        <v>q422_3a</v>
      </c>
      <c r="B245" s="131" t="s">
        <v>1200</v>
      </c>
      <c r="C245" s="131"/>
      <c r="D245" s="127" t="str">
        <f>CONCATENATE(INDEX(choices!D:D,MATCH(M245,choices!A:A,0)),"
",IF(M245=INDEX(choices!A:A,MATCH(M245,choices!A:A,0)+1),INDEX(choices!D:D,MATCH(M245,choices!A:A,0)+1),""),IF(M245=INDEX(choices!A:A,MATCH(M245,choices!A:A,0)+1), "
",""),IF(M245=INDEX(choices!A:A,MATCH(M245,choices!A:A,0)+2),INDEX(choices!D:D,MATCH(M245,choices!A:A,0)+2),""),IF(M245=INDEX(choices!A:A,MATCH(M245,choices!A:A,0)+2), "
",""),IF(M245=INDEX(choices!A:A,MATCH(M245,choices!A:A,0)+3),INDEX(choices!D:D,MATCH(M245,choices!A:A,0)+3),""),IF(M245=INDEX(choices!A:A,MATCH(M245,choices!A:A,0)+3), "
",""),IF(M245=INDEX(choices!A:A,MATCH(M245,choices!A:A,0)+4),INDEX(choices!D:D,MATCH(M245,choices!A:A,0)+4),""),IF(M245=INDEX(choices!A:A,MATCH(M245,choices!A:A,0)+4), "
",""),IF(M245=INDEX(choices!A:A,MATCH(M245,choices!A:A,0)+5),INDEX(choices!D:D,MATCH(M245,choices!A:A,0)+5),""),IF(M245=INDEX(choices!A:A,MATCH(M245,choices!A:A,0)+5), "
",""),IF(M245=INDEX(choices!A:A,MATCH(M245,choices!A:A,0)+6),INDEX(choices!D:D,MATCH(M245,choices!A:A,0)+6),""),IF(M245=INDEX(choices!A:A,MATCH(M245,choices!A:A,0)+6), "
",""),IF(M245=INDEX(choices!A:A,MATCH(M245,choices!A:A,0)+7),INDEX(choices!D:D,MATCH(M245,choices!A:A,0)+7),""),IF(M245=INDEX(choices!A:A,MATCH(M245,choices!A:A,0)+7), "
",""),IF(M245=INDEX(choices!A:A,MATCH(M245,choices!A:A,0)+8),INDEX(choices!D:D,MATCH(M245,choices!A:A,0)+8),""),IF(M245=INDEX(choices!A:A,MATCH(M245,choices!A:A,0)+8), "
",""),IF(M245=INDEX(choices!A:A,MATCH(M245,choices!A:A,0)+9),INDEX(choices!D:D,MATCH(M245,choices!A:A,0)+9),""),IF(M245=INDEX(choices!A:A,MATCH(M245,choices!A:A,0)+9), "
",""),IF(M245=INDEX(choices!A:A,MATCH(M245,choices!A:A,0)+10),INDEX(choices!D:D,MATCH(M245,choices!A:A,0)+10),""),IF(M245=INDEX(choices!A:A,MATCH(M245,choices!A:A,0)+10), "
",""),IF(M245=INDEX(choices!A:A,MATCH(M245,choices!A:A,0)+11),INDEX(choices!D:D,MATCH(M245,choices!A:A,0)+11),""),IF(M245=INDEX(choices!A:A,MATCH(M245,choices!A:A,0)+11), "
",""),IF(M245=INDEX(choices!A:A,MATCH(M245,choices!A:A,0)+12),INDEX(choices!D:D,MATCH(M245,choices!A:A,0)+12),""),IF(M245=INDEX(choices!A:A,MATCH(M245,choices!A:A,0)+12), "
",""),IF(M245=INDEX(choices!A:A,MATCH(M245,choices!A:A,0)+13),INDEX(choices!D:D,MATCH(M245,choices!A:A,0)+13),""),IF(M245=INDEX(choices!A:A,MATCH(M245,choices!A:A,0)+13), "
",""),IF(M245=INDEX(choices!A:A,MATCH(M245,choices!A:A,0)+14),INDEX(choices!D:D,MATCH(M245,choices!A:A,0)+14),""),IF(M245=INDEX(choices!A:A,MATCH(M245,choices!A:A,0)+14), "
",""),IF(M245=INDEX(choices!A:A,MATCH(M245,choices!A:A,0)+15),INDEX(choices!D:D,MATCH(M245,choices!A:A,0)+15),""),IF(M245=INDEX(choices!A:A,MATCH(M245,choices!A:A,0)+15), "
",""),IF(M245=INDEX(choices!A:A,MATCH(M245,choices!A:A,0)+16),INDEX(choices!D:D,MATCH(M245,choices!A:A,0)+16),""),IF(M245=INDEX(choices!A:A,MATCH(M245,choices!A:A,0)+16), "
",""),IF(M245=INDEX(choices!A:A,MATCH(M245,choices!A:A,0)+17),INDEX(choices!D:D,MATCH(M245,choices!A:A,0)+17),""),IF(M245=INDEX(choices!A:A,MATCH(M245,choices!A:A,0)+17), "
",""),IF(M245=INDEX(choices!A:A,MATCH(M245,choices!A:A,0)+18),INDEX(choices!D:D,MATCH(M245,choices!A:A,0)+18),""),IF(M245=INDEX(choices!A:A,MATCH(M245,choices!A:A,0)+18), "
",""),IF(M245=INDEX(choices!A:A,MATCH(M245,choices!A:A,0)+19),INDEX(choices!D:D,MATCH(M245,choices!A:A,0)+19),""),IF(M245=INDEX(choices!A:A,MATCH(M245,choices!A:A,0)+19), "
",""),IF(M245=INDEX(choices!A:A,MATCH(M245,choices!A:A,0)+20),INDEX(choices!D:D,MATCH(M245,choices!A:A,0)+20),""),IF(M245=INDEX(choices!A:A,MATCH(M245,choices!A:A,0)+20), "
",""))</f>
        <v xml:space="preserve">1. Walk
2. Public transportation
3. Microbus/Private minibus
4. Taxi
5. Toktok
6. Bike/motorcycle
7. Private car
8. School bus
9. Different modes 
97. Other
98. Don't know
</v>
      </c>
      <c r="E245" s="310" t="s">
        <v>1129</v>
      </c>
      <c r="F245" s="310"/>
      <c r="G245" s="67" t="str">
        <f>CONCATENATE(INDEX(choices!C:C,MATCH(M245,choices!A:A,0)),"
",IF(M245=INDEX(choices!A:A,MATCH(M245,choices!A:A,0)+1),INDEX(choices!C:C,MATCH(M245,choices!A:A,0)+1),""),IF(M245=INDEX(choices!A:A,MATCH(M245,choices!A:A,0)+1), "
",""),IF(M245=INDEX(choices!A:A,MATCH(M245,choices!A:A,0)+2),INDEX(choices!C:C,MATCH(M245,choices!A:A,0)+2),""),IF(M245=INDEX(choices!A:A,MATCH(M245,choices!A:A,0)+2), "
",""),IF(M245=INDEX(choices!A:A,MATCH(M245,choices!A:A,0)+3),INDEX(choices!C:C,MATCH(M245,choices!A:A,0)+3),""),IF(M245=INDEX(choices!A:A,MATCH(M245,choices!A:A,0)+3), "
",""),IF(M245=INDEX(choices!A:A,MATCH(M245,choices!A:A,0)+4),INDEX(choices!C:C,MATCH(M245,choices!A:A,0)+4),""),IF(M245=INDEX(choices!A:A,MATCH(M245,choices!A:A,0)+4), "
",""),IF(M245=INDEX(choices!A:A,MATCH(M245,choices!A:A,0)+5),INDEX(choices!C:C,MATCH(M245,choices!A:A,0)+5),""),IF(M245=INDEX(choices!A:A,MATCH(M245,choices!A:A,0)+5), "
",""),IF(M245=INDEX(choices!A:A,MATCH(M245,choices!A:A,0)+6),INDEX(choices!C:C,MATCH(M245,choices!A:A,0)+6),""),IF(M245=INDEX(choices!A:A,MATCH(M245,choices!A:A,0)+6), "
",""),IF(M245=INDEX(choices!A:A,MATCH(M245,choices!A:A,0)+7),INDEX(choices!C:C,MATCH(M245,choices!A:A,0)+7),""),IF(M245=INDEX(choices!A:A,MATCH(M245,choices!A:A,0)+7), "
",""),IF(M245=INDEX(choices!A:A,MATCH(M245,choices!A:A,0)+8),INDEX(choices!C:C,MATCH(M245,choices!A:A,0)+8),""),IF(M245=INDEX(choices!A:A,MATCH(M245,choices!A:A,0)+8), "
",""),IF(M245=INDEX(choices!A:A,MATCH(M245,choices!A:A,0)+9),INDEX(choices!C:C,MATCH(M245,choices!A:A,0)+9),""),IF(M245=INDEX(choices!A:A,MATCH(M245,choices!A:A,0)+9), "
",""),IF(M245=INDEX(choices!A:A,MATCH(M245,choices!A:A,0)+10),INDEX(choices!C:C,MATCH(M245,choices!A:A,0)+10),""),IF(M245=INDEX(choices!A:A,MATCH(M245,choices!A:A,0)+10), "
",""),IF(M245=INDEX(choices!A:A,MATCH(M245,choices!A:A,0)+11),INDEX(choices!C:C,MATCH(M245,choices!A:A,0)+11),""),IF(M245=INDEX(choices!A:A,MATCH(M245,choices!A:A,0)+11), "
",""),IF(M245=INDEX(choices!A:A,MATCH(M245,choices!A:A,0)+12),INDEX(choices!C:C,MATCH(M245,choices!A:A,0)+12),""),IF(M245=INDEX(choices!A:A,MATCH(M245,choices!A:A,0)+12), "
",""),IF(M245=INDEX(choices!A:A,MATCH(M245,choices!A:A,0)+13),INDEX(choices!C:C,MATCH(M245,choices!A:A,0)+13),""),IF(M245=INDEX(choices!A:A,MATCH(M245,choices!A:A,0)+13), "
",""),IF(M245=INDEX(choices!A:A,MATCH(M245,choices!A:A,0)+14),INDEX(choices!C:C,MATCH(M245,choices!A:A,0)+14),""),IF(M245=INDEX(choices!A:A,MATCH(M245,choices!A:A,0)+14), "
",""),IF(M245=INDEX(choices!A:A,MATCH(M245,choices!A:A,0)+15),INDEX(choices!C:C,MATCH(M245,choices!A:A,0)+15),""),IF(M245=INDEX(choices!A:A,MATCH(M245,choices!A:A,0)+15), "
",""),IF(M245=INDEX(choices!A:A,MATCH(M245,choices!A:A,0)+16),INDEX(choices!C:C,MATCH(M245,choices!A:A,0)+16),""),IF(M245=INDEX(choices!A:A,MATCH(M245,choices!A:A,0)+16), "
",""),IF(M245=INDEX(choices!A:A,MATCH(M245,choices!A:A,0)+17),INDEX(choices!C:C,MATCH(M245,choices!A:A,0)+17),""),IF(M245=INDEX(choices!A:A,MATCH(M245,choices!A:A,0)+17), "
",""),IF(M245=INDEX(choices!A:A,MATCH(M245,choices!A:A,0)+18),INDEX(choices!C:C,MATCH(M245,choices!A:A,0)+18),""),IF(M245=INDEX(choices!A:A,MATCH(M245,choices!A:A,0)+18), "
",""),IF(M245=INDEX(choices!A:A,MATCH(M245,choices!A:A,0)+19),INDEX(choices!C:C,MATCH(M245,choices!A:A,0)+19),""),IF(M245=INDEX(choices!A:A,MATCH(M245,choices!A:A,0)+19), "
",""),IF(M245=INDEX(choices!A:A,MATCH(M245,choices!A:A,0)+20),INDEX(choices!C:C,MATCH(M245,choices!A:A,0)+20),""),IF(M245=INDEX(choices!A:A,MATCH(M245,choices!A:A,0)+20), "
","")," ")</f>
        <v xml:space="preserve">1. المشي  
2. مواصلات عامة
3. ميكروباص/مينى باص خاص  
4. تاكسي 
5. توك توك
6.  دراجة / موتوسيكل
7. سيارة خاصة
8. أتوبيس المدرسة
 9. وسائل مختلفة
97. أخرى
98. لا أعرف
 </v>
      </c>
      <c r="H245" s="131"/>
      <c r="I245" s="30" t="str">
        <f>CONCATENATE(I230, "_3", "a")</f>
        <v>422_3a</v>
      </c>
      <c r="L245" s="18" t="s">
        <v>18</v>
      </c>
      <c r="M245" s="18" t="s">
        <v>36</v>
      </c>
      <c r="N245" s="18" t="str">
        <f>CONCATENATE(A230, "_3", "a")</f>
        <v>q422_3a</v>
      </c>
      <c r="O245" s="86" t="str">
        <f>CONCATENATE(I245,". ",E245)</f>
        <v xml:space="preserve">422_3a. ما هي وسيلة المواصلات الأكثر استخداما للذهاب إلى المدرسة الثانوية؟ </v>
      </c>
      <c r="P245" s="127" t="str">
        <f>CONCATENATE(I245, ". ", B245)</f>
        <v>422_3a. What is the most used type of transportation to secondary school?</v>
      </c>
      <c r="Q245" s="30"/>
      <c r="R245" s="117"/>
      <c r="S245" s="127" t="str">
        <f>'1_0_statistical_identification'!S164</f>
        <v>(data('valid_overall') == 1)</v>
      </c>
      <c r="T245" s="127"/>
      <c r="U245" s="127"/>
      <c r="V245" s="30"/>
      <c r="Y245" s="18" t="b">
        <v>1</v>
      </c>
    </row>
    <row r="246" spans="1:29" s="18" customFormat="1" ht="60">
      <c r="A246" s="18" t="str">
        <f>N246</f>
        <v>q422_3b</v>
      </c>
      <c r="B246" s="131" t="s">
        <v>423</v>
      </c>
      <c r="C246" s="48" t="str">
        <f>CONCATENATE("Hints: ", R246)</f>
        <v>Hints: in minutes 
998 if don't know</v>
      </c>
      <c r="D246" s="58" t="s">
        <v>472</v>
      </c>
      <c r="E246" s="310" t="s">
        <v>1127</v>
      </c>
      <c r="F246" s="48" t="str">
        <f>CONCATENATE("Hints: ",Q246, )</f>
        <v>Hints: في دقائق
998 لا أعرف</v>
      </c>
      <c r="G246" s="70" t="s">
        <v>473</v>
      </c>
      <c r="H246" s="131"/>
      <c r="I246" s="30" t="str">
        <f>CONCATENATE(I230,"_3", "b")</f>
        <v>422_3b</v>
      </c>
      <c r="L246" s="18" t="s">
        <v>19</v>
      </c>
      <c r="N246" s="18" t="str">
        <f>CONCATENATE(A230,"_3", "b")</f>
        <v>q422_3b</v>
      </c>
      <c r="O246" s="86" t="str">
        <f>CONCATENATE(I246,". ",E246)</f>
        <v xml:space="preserve">422_3b. ما هى مدة الرحلة؟ </v>
      </c>
      <c r="P246" s="127" t="str">
        <f>CONCATENATE(I246, ". ", B246)</f>
        <v xml:space="preserve">422_3b.  Length of trip </v>
      </c>
      <c r="Q246" s="70" t="str">
        <f>G246</f>
        <v>في دقائق
998 لا أعرف</v>
      </c>
      <c r="R246" s="117" t="str">
        <f>D246</f>
        <v>in minutes 
998 if don't know</v>
      </c>
      <c r="S246" s="127" t="str">
        <f>'1_0_statistical_identification'!S164</f>
        <v>(data('valid_overall') == 1)</v>
      </c>
      <c r="T246" s="127"/>
      <c r="U246" s="127"/>
      <c r="V246" s="30"/>
      <c r="Y246" s="8" t="b">
        <v>1</v>
      </c>
    </row>
    <row r="247" spans="1:29" s="1" customFormat="1" ht="45">
      <c r="A247" s="14"/>
      <c r="B247" s="129"/>
      <c r="C247" s="129"/>
      <c r="D247" s="28"/>
      <c r="E247" s="129"/>
      <c r="F247" s="129"/>
      <c r="G247" s="133"/>
      <c r="H247" s="133"/>
      <c r="I247" s="28"/>
      <c r="J247" s="43" t="s">
        <v>23</v>
      </c>
      <c r="K247" s="28" t="str">
        <f>CONCATENATE("selected (data('",A245,"'), '97')")</f>
        <v>selected (data('q422_3a'), '97')</v>
      </c>
      <c r="L247" s="19"/>
      <c r="M247" s="12"/>
      <c r="N247" s="14"/>
      <c r="O247" s="48"/>
      <c r="P247" s="31"/>
      <c r="Q247" s="28"/>
      <c r="R247" s="28"/>
      <c r="S247" s="31"/>
      <c r="T247" s="31"/>
      <c r="U247" s="31"/>
      <c r="V247" s="28"/>
      <c r="Y247" s="14"/>
      <c r="Z247" s="161"/>
      <c r="AA247" s="19"/>
      <c r="AB247" s="19"/>
      <c r="AC247" s="14"/>
    </row>
    <row r="248" spans="1:29" s="1" customFormat="1" ht="75">
      <c r="A248" s="14" t="str">
        <f>CONCATENATE("q",I248)</f>
        <v>q422_3b_other</v>
      </c>
      <c r="B248" s="129" t="s">
        <v>393</v>
      </c>
      <c r="C248" s="129"/>
      <c r="D248" s="28"/>
      <c r="E248" s="129" t="s">
        <v>1088</v>
      </c>
      <c r="F248" s="129"/>
      <c r="G248" s="133"/>
      <c r="H248" s="133"/>
      <c r="I248" s="28" t="str">
        <f>CONCATENATE(I246,"_other")</f>
        <v>422_3b_other</v>
      </c>
      <c r="J248" s="43"/>
      <c r="K248" s="28"/>
      <c r="L248" s="19" t="s">
        <v>8</v>
      </c>
      <c r="M248" s="12"/>
      <c r="N248" s="14" t="str">
        <f>CONCATENATE("q",I248)</f>
        <v>q422_3b_other</v>
      </c>
      <c r="O248" s="86" t="str">
        <f>CONCATENATE(I248,". ",E248)</f>
        <v>422_3b_other. أخرى</v>
      </c>
      <c r="P248" s="86" t="str">
        <f>CONCATENATE($I248,". ",B248)</f>
        <v xml:space="preserve">422_3b_other. Other: </v>
      </c>
      <c r="Q248" s="28"/>
      <c r="R248" s="28"/>
      <c r="S248" s="86" t="str">
        <f>CONCATENATE(K247, " &amp;&amp; ", '1_0_statistical_identification'!$S$164)</f>
        <v>selected (data('q422_3a'), '97') &amp;&amp; (data('valid_overall') == 1)</v>
      </c>
      <c r="T248" s="86"/>
      <c r="U248" s="86"/>
      <c r="V248" s="28"/>
      <c r="Y248" s="14" t="b">
        <v>1</v>
      </c>
      <c r="Z248" s="161"/>
      <c r="AA248" s="19"/>
      <c r="AB248" s="19"/>
      <c r="AC248" s="14"/>
    </row>
    <row r="249" spans="1:29" s="1" customFormat="1" ht="15">
      <c r="A249" s="14"/>
      <c r="B249" s="129"/>
      <c r="C249" s="129"/>
      <c r="D249" s="28"/>
      <c r="E249" s="129"/>
      <c r="F249" s="129"/>
      <c r="G249" s="133"/>
      <c r="H249" s="134"/>
      <c r="I249" s="28"/>
      <c r="J249" s="43" t="s">
        <v>24</v>
      </c>
      <c r="K249" s="28"/>
      <c r="L249" s="19"/>
      <c r="M249" s="12"/>
      <c r="N249" s="14"/>
      <c r="O249" s="48"/>
      <c r="P249" s="31"/>
      <c r="Q249" s="28"/>
      <c r="R249" s="28"/>
      <c r="S249" s="31"/>
      <c r="T249" s="31"/>
      <c r="U249" s="31"/>
      <c r="V249" s="28"/>
      <c r="Y249" s="14"/>
      <c r="Z249" s="161"/>
      <c r="AA249" s="19"/>
      <c r="AB249" s="19"/>
      <c r="AC249" s="14"/>
    </row>
    <row r="250" spans="1:29" s="18" customFormat="1" ht="15">
      <c r="B250" s="131"/>
      <c r="C250" s="131"/>
      <c r="D250" s="30"/>
      <c r="E250" s="310"/>
      <c r="F250" s="310"/>
      <c r="G250" s="131"/>
      <c r="H250" s="131"/>
      <c r="I250" s="30"/>
      <c r="J250" s="18" t="s">
        <v>21</v>
      </c>
      <c r="O250" s="70"/>
      <c r="P250" s="30"/>
      <c r="Q250" s="30"/>
      <c r="R250" s="117"/>
      <c r="S250" s="30"/>
      <c r="T250" s="30"/>
      <c r="U250" s="30"/>
      <c r="V250" s="30"/>
      <c r="Y250" s="18" t="b">
        <v>1</v>
      </c>
    </row>
    <row r="251" spans="1:29" s="18" customFormat="1" ht="15">
      <c r="B251" s="131"/>
      <c r="C251" s="131"/>
      <c r="D251" s="30"/>
      <c r="E251" s="310"/>
      <c r="F251" s="310"/>
      <c r="G251" s="131"/>
      <c r="H251" s="131"/>
      <c r="I251" s="30"/>
      <c r="J251" s="18" t="s">
        <v>20</v>
      </c>
      <c r="O251" s="70"/>
      <c r="P251" s="30"/>
      <c r="Q251" s="30"/>
      <c r="R251" s="117"/>
      <c r="S251" s="30"/>
      <c r="T251" s="30"/>
      <c r="U251" s="30"/>
      <c r="V251" s="30"/>
      <c r="Y251" s="18" t="b">
        <v>1</v>
      </c>
    </row>
    <row r="252" spans="1:29" s="18" customFormat="1" ht="270">
      <c r="A252" s="18" t="str">
        <f>N252</f>
        <v>q422_4a</v>
      </c>
      <c r="B252" s="131" t="s">
        <v>1201</v>
      </c>
      <c r="C252" s="131"/>
      <c r="D252" s="127" t="str">
        <f>CONCATENATE(INDEX(choices!D:D,MATCH(M252,choices!A:A,0)),"
",IF(M252=INDEX(choices!A:A,MATCH(M252,choices!A:A,0)+1),INDEX(choices!D:D,MATCH(M252,choices!A:A,0)+1),""),IF(M252=INDEX(choices!A:A,MATCH(M252,choices!A:A,0)+1), "
",""),IF(M252=INDEX(choices!A:A,MATCH(M252,choices!A:A,0)+2),INDEX(choices!D:D,MATCH(M252,choices!A:A,0)+2),""),IF(M252=INDEX(choices!A:A,MATCH(M252,choices!A:A,0)+2), "
",""),IF(M252=INDEX(choices!A:A,MATCH(M252,choices!A:A,0)+3),INDEX(choices!D:D,MATCH(M252,choices!A:A,0)+3),""),IF(M252=INDEX(choices!A:A,MATCH(M252,choices!A:A,0)+3), "
",""),IF(M252=INDEX(choices!A:A,MATCH(M252,choices!A:A,0)+4),INDEX(choices!D:D,MATCH(M252,choices!A:A,0)+4),""),IF(M252=INDEX(choices!A:A,MATCH(M252,choices!A:A,0)+4), "
",""),IF(M252=INDEX(choices!A:A,MATCH(M252,choices!A:A,0)+5),INDEX(choices!D:D,MATCH(M252,choices!A:A,0)+5),""),IF(M252=INDEX(choices!A:A,MATCH(M252,choices!A:A,0)+5), "
",""),IF(M252=INDEX(choices!A:A,MATCH(M252,choices!A:A,0)+6),INDEX(choices!D:D,MATCH(M252,choices!A:A,0)+6),""),IF(M252=INDEX(choices!A:A,MATCH(M252,choices!A:A,0)+6), "
",""),IF(M252=INDEX(choices!A:A,MATCH(M252,choices!A:A,0)+7),INDEX(choices!D:D,MATCH(M252,choices!A:A,0)+7),""),IF(M252=INDEX(choices!A:A,MATCH(M252,choices!A:A,0)+7), "
",""),IF(M252=INDEX(choices!A:A,MATCH(M252,choices!A:A,0)+8),INDEX(choices!D:D,MATCH(M252,choices!A:A,0)+8),""),IF(M252=INDEX(choices!A:A,MATCH(M252,choices!A:A,0)+8), "
",""),IF(M252=INDEX(choices!A:A,MATCH(M252,choices!A:A,0)+9),INDEX(choices!D:D,MATCH(M252,choices!A:A,0)+9),""),IF(M252=INDEX(choices!A:A,MATCH(M252,choices!A:A,0)+9), "
",""),IF(M252=INDEX(choices!A:A,MATCH(M252,choices!A:A,0)+10),INDEX(choices!D:D,MATCH(M252,choices!A:A,0)+10),""),IF(M252=INDEX(choices!A:A,MATCH(M252,choices!A:A,0)+10), "
",""),IF(M252=INDEX(choices!A:A,MATCH(M252,choices!A:A,0)+11),INDEX(choices!D:D,MATCH(M252,choices!A:A,0)+11),""),IF(M252=INDEX(choices!A:A,MATCH(M252,choices!A:A,0)+11), "
",""),IF(M252=INDEX(choices!A:A,MATCH(M252,choices!A:A,0)+12),INDEX(choices!D:D,MATCH(M252,choices!A:A,0)+12),""),IF(M252=INDEX(choices!A:A,MATCH(M252,choices!A:A,0)+12), "
",""),IF(M252=INDEX(choices!A:A,MATCH(M252,choices!A:A,0)+13),INDEX(choices!D:D,MATCH(M252,choices!A:A,0)+13),""),IF(M252=INDEX(choices!A:A,MATCH(M252,choices!A:A,0)+13), "
",""),IF(M252=INDEX(choices!A:A,MATCH(M252,choices!A:A,0)+14),INDEX(choices!D:D,MATCH(M252,choices!A:A,0)+14),""),IF(M252=INDEX(choices!A:A,MATCH(M252,choices!A:A,0)+14), "
",""),IF(M252=INDEX(choices!A:A,MATCH(M252,choices!A:A,0)+15),INDEX(choices!D:D,MATCH(M252,choices!A:A,0)+15),""),IF(M252=INDEX(choices!A:A,MATCH(M252,choices!A:A,0)+15), "
",""),IF(M252=INDEX(choices!A:A,MATCH(M252,choices!A:A,0)+16),INDEX(choices!D:D,MATCH(M252,choices!A:A,0)+16),""),IF(M252=INDEX(choices!A:A,MATCH(M252,choices!A:A,0)+16), "
",""),IF(M252=INDEX(choices!A:A,MATCH(M252,choices!A:A,0)+17),INDEX(choices!D:D,MATCH(M252,choices!A:A,0)+17),""),IF(M252=INDEX(choices!A:A,MATCH(M252,choices!A:A,0)+17), "
",""),IF(M252=INDEX(choices!A:A,MATCH(M252,choices!A:A,0)+18),INDEX(choices!D:D,MATCH(M252,choices!A:A,0)+18),""),IF(M252=INDEX(choices!A:A,MATCH(M252,choices!A:A,0)+18), "
",""),IF(M252=INDEX(choices!A:A,MATCH(M252,choices!A:A,0)+19),INDEX(choices!D:D,MATCH(M252,choices!A:A,0)+19),""),IF(M252=INDEX(choices!A:A,MATCH(M252,choices!A:A,0)+19), "
",""),IF(M252=INDEX(choices!A:A,MATCH(M252,choices!A:A,0)+20),INDEX(choices!D:D,MATCH(M252,choices!A:A,0)+20),""),IF(M252=INDEX(choices!A:A,MATCH(M252,choices!A:A,0)+20), "
",""))</f>
        <v xml:space="preserve">1. Walk
2. Public transportation
3. Microbus/Private minibus
4. Taxi
5. Toktok
6. Bike/motorcycle
7. Private car
8. School bus
9. Different modes 
97. Other
98. Don't know
</v>
      </c>
      <c r="E252" s="310" t="s">
        <v>1130</v>
      </c>
      <c r="F252" s="310"/>
      <c r="G252" s="67" t="str">
        <f>CONCATENATE(INDEX(choices!C:C,MATCH(M252,choices!A:A,0)),"
",IF(M252=INDEX(choices!A:A,MATCH(M252,choices!A:A,0)+1),INDEX(choices!C:C,MATCH(M252,choices!A:A,0)+1),""),IF(M252=INDEX(choices!A:A,MATCH(M252,choices!A:A,0)+1), "
",""),IF(M252=INDEX(choices!A:A,MATCH(M252,choices!A:A,0)+2),INDEX(choices!C:C,MATCH(M252,choices!A:A,0)+2),""),IF(M252=INDEX(choices!A:A,MATCH(M252,choices!A:A,0)+2), "
",""),IF(M252=INDEX(choices!A:A,MATCH(M252,choices!A:A,0)+3),INDEX(choices!C:C,MATCH(M252,choices!A:A,0)+3),""),IF(M252=INDEX(choices!A:A,MATCH(M252,choices!A:A,0)+3), "
",""),IF(M252=INDEX(choices!A:A,MATCH(M252,choices!A:A,0)+4),INDEX(choices!C:C,MATCH(M252,choices!A:A,0)+4),""),IF(M252=INDEX(choices!A:A,MATCH(M252,choices!A:A,0)+4), "
",""),IF(M252=INDEX(choices!A:A,MATCH(M252,choices!A:A,0)+5),INDEX(choices!C:C,MATCH(M252,choices!A:A,0)+5),""),IF(M252=INDEX(choices!A:A,MATCH(M252,choices!A:A,0)+5), "
",""),IF(M252=INDEX(choices!A:A,MATCH(M252,choices!A:A,0)+6),INDEX(choices!C:C,MATCH(M252,choices!A:A,0)+6),""),IF(M252=INDEX(choices!A:A,MATCH(M252,choices!A:A,0)+6), "
",""),IF(M252=INDEX(choices!A:A,MATCH(M252,choices!A:A,0)+7),INDEX(choices!C:C,MATCH(M252,choices!A:A,0)+7),""),IF(M252=INDEX(choices!A:A,MATCH(M252,choices!A:A,0)+7), "
",""),IF(M252=INDEX(choices!A:A,MATCH(M252,choices!A:A,0)+8),INDEX(choices!C:C,MATCH(M252,choices!A:A,0)+8),""),IF(M252=INDEX(choices!A:A,MATCH(M252,choices!A:A,0)+8), "
",""),IF(M252=INDEX(choices!A:A,MATCH(M252,choices!A:A,0)+9),INDEX(choices!C:C,MATCH(M252,choices!A:A,0)+9),""),IF(M252=INDEX(choices!A:A,MATCH(M252,choices!A:A,0)+9), "
",""),IF(M252=INDEX(choices!A:A,MATCH(M252,choices!A:A,0)+10),INDEX(choices!C:C,MATCH(M252,choices!A:A,0)+10),""),IF(M252=INDEX(choices!A:A,MATCH(M252,choices!A:A,0)+10), "
",""),IF(M252=INDEX(choices!A:A,MATCH(M252,choices!A:A,0)+11),INDEX(choices!C:C,MATCH(M252,choices!A:A,0)+11),""),IF(M252=INDEX(choices!A:A,MATCH(M252,choices!A:A,0)+11), "
",""),IF(M252=INDEX(choices!A:A,MATCH(M252,choices!A:A,0)+12),INDEX(choices!C:C,MATCH(M252,choices!A:A,0)+12),""),IF(M252=INDEX(choices!A:A,MATCH(M252,choices!A:A,0)+12), "
",""),IF(M252=INDEX(choices!A:A,MATCH(M252,choices!A:A,0)+13),INDEX(choices!C:C,MATCH(M252,choices!A:A,0)+13),""),IF(M252=INDEX(choices!A:A,MATCH(M252,choices!A:A,0)+13), "
",""),IF(M252=INDEX(choices!A:A,MATCH(M252,choices!A:A,0)+14),INDEX(choices!C:C,MATCH(M252,choices!A:A,0)+14),""),IF(M252=INDEX(choices!A:A,MATCH(M252,choices!A:A,0)+14), "
",""),IF(M252=INDEX(choices!A:A,MATCH(M252,choices!A:A,0)+15),INDEX(choices!C:C,MATCH(M252,choices!A:A,0)+15),""),IF(M252=INDEX(choices!A:A,MATCH(M252,choices!A:A,0)+15), "
",""),IF(M252=INDEX(choices!A:A,MATCH(M252,choices!A:A,0)+16),INDEX(choices!C:C,MATCH(M252,choices!A:A,0)+16),""),IF(M252=INDEX(choices!A:A,MATCH(M252,choices!A:A,0)+16), "
",""),IF(M252=INDEX(choices!A:A,MATCH(M252,choices!A:A,0)+17),INDEX(choices!C:C,MATCH(M252,choices!A:A,0)+17),""),IF(M252=INDEX(choices!A:A,MATCH(M252,choices!A:A,0)+17), "
",""),IF(M252=INDEX(choices!A:A,MATCH(M252,choices!A:A,0)+18),INDEX(choices!C:C,MATCH(M252,choices!A:A,0)+18),""),IF(M252=INDEX(choices!A:A,MATCH(M252,choices!A:A,0)+18), "
",""),IF(M252=INDEX(choices!A:A,MATCH(M252,choices!A:A,0)+19),INDEX(choices!C:C,MATCH(M252,choices!A:A,0)+19),""),IF(M252=INDEX(choices!A:A,MATCH(M252,choices!A:A,0)+19), "
",""),IF(M252=INDEX(choices!A:A,MATCH(M252,choices!A:A,0)+20),INDEX(choices!C:C,MATCH(M252,choices!A:A,0)+20),""),IF(M252=INDEX(choices!A:A,MATCH(M252,choices!A:A,0)+20), "
","")," ")</f>
        <v xml:space="preserve">1. المشي  
2. مواصلات عامة
3. ميكروباص/مينى باص خاص  
4. تاكسي 
5. توك توك
6.  دراجة / موتوسيكل
7. سيارة خاصة
8. أتوبيس المدرسة
 9. وسائل مختلفة
97. أخرى
98. لا أعرف
 </v>
      </c>
      <c r="H252" s="131"/>
      <c r="I252" s="30" t="str">
        <f>CONCATENATE(I230, "_4", "a")</f>
        <v>422_4a</v>
      </c>
      <c r="L252" s="18" t="s">
        <v>18</v>
      </c>
      <c r="M252" s="18" t="s">
        <v>36</v>
      </c>
      <c r="N252" s="18" t="str">
        <f>CONCATENATE(A230, "_4", "a")</f>
        <v>q422_4a</v>
      </c>
      <c r="O252" s="86" t="str">
        <f>CONCATENATE(I252,". ",E252)</f>
        <v xml:space="preserve">422_4a. ما هي وسيلة المواصلات الأكثر استخداما للذهاب إلى وحدة صحية حكومية أو عيادة؟ </v>
      </c>
      <c r="P252" s="127" t="str">
        <f>CONCATENATE(I252, ". ", B252)</f>
        <v>422_4a. What is the most used type of transportation to a government health center or clinic?</v>
      </c>
      <c r="Q252" s="30"/>
      <c r="R252" s="117"/>
      <c r="S252" s="127" t="str">
        <f>'1_0_statistical_identification'!S164</f>
        <v>(data('valid_overall') == 1)</v>
      </c>
      <c r="T252" s="127"/>
      <c r="U252" s="127"/>
      <c r="V252" s="30"/>
      <c r="Y252" s="18" t="b">
        <v>1</v>
      </c>
    </row>
    <row r="253" spans="1:29" s="18" customFormat="1" ht="60">
      <c r="A253" s="18" t="str">
        <f>N253</f>
        <v>q422_4b</v>
      </c>
      <c r="B253" s="131" t="s">
        <v>423</v>
      </c>
      <c r="C253" s="48" t="str">
        <f>CONCATENATE("Hints: ", R253)</f>
        <v>Hints: in minutes 
998 if don't know</v>
      </c>
      <c r="D253" s="58" t="s">
        <v>472</v>
      </c>
      <c r="E253" s="310" t="s">
        <v>1127</v>
      </c>
      <c r="F253" s="48" t="str">
        <f>CONCATENATE("Hints: ",Q253, )</f>
        <v>Hints: في دقائق
998 لا أعرف</v>
      </c>
      <c r="G253" s="70" t="s">
        <v>473</v>
      </c>
      <c r="H253" s="131"/>
      <c r="I253" s="30" t="str">
        <f>CONCATENATE(I230, "_4", "b")</f>
        <v>422_4b</v>
      </c>
      <c r="L253" s="18" t="s">
        <v>19</v>
      </c>
      <c r="N253" s="18" t="str">
        <f>CONCATENATE(A230, "_4", "b")</f>
        <v>q422_4b</v>
      </c>
      <c r="O253" s="86" t="str">
        <f>CONCATENATE(I253,". ",E253)</f>
        <v xml:space="preserve">422_4b. ما هى مدة الرحلة؟ </v>
      </c>
      <c r="P253" s="127" t="str">
        <f>CONCATENATE(I253, ". ", B253)</f>
        <v xml:space="preserve">422_4b.  Length of trip </v>
      </c>
      <c r="Q253" s="70" t="str">
        <f>G253</f>
        <v>في دقائق
998 لا أعرف</v>
      </c>
      <c r="R253" s="117" t="str">
        <f>D253</f>
        <v>in minutes 
998 if don't know</v>
      </c>
      <c r="S253" s="127" t="str">
        <f>'1_0_statistical_identification'!S164</f>
        <v>(data('valid_overall') == 1)</v>
      </c>
      <c r="T253" s="127"/>
      <c r="U253" s="127"/>
      <c r="V253" s="30"/>
      <c r="Y253" s="8" t="b">
        <v>1</v>
      </c>
    </row>
    <row r="254" spans="1:29" s="1" customFormat="1" ht="45">
      <c r="A254" s="14"/>
      <c r="B254" s="129"/>
      <c r="C254" s="129"/>
      <c r="D254" s="28"/>
      <c r="E254" s="129"/>
      <c r="F254" s="129"/>
      <c r="G254" s="133"/>
      <c r="H254" s="133"/>
      <c r="I254" s="28"/>
      <c r="J254" s="43" t="s">
        <v>23</v>
      </c>
      <c r="K254" s="28" t="str">
        <f>CONCATENATE("selected (data('",A252,"'), '97')")</f>
        <v>selected (data('q422_4a'), '97')</v>
      </c>
      <c r="L254" s="19"/>
      <c r="M254" s="12"/>
      <c r="N254" s="14"/>
      <c r="O254" s="48"/>
      <c r="P254" s="31"/>
      <c r="Q254" s="28"/>
      <c r="R254" s="28"/>
      <c r="S254" s="31"/>
      <c r="T254" s="31"/>
      <c r="U254" s="31"/>
      <c r="V254" s="28"/>
      <c r="Y254" s="14"/>
      <c r="Z254" s="161"/>
      <c r="AA254" s="19"/>
      <c r="AB254" s="19"/>
      <c r="AC254" s="14"/>
    </row>
    <row r="255" spans="1:29" s="1" customFormat="1" ht="75">
      <c r="A255" s="14" t="str">
        <f>CONCATENATE("q",I255)</f>
        <v>q422_4b_other</v>
      </c>
      <c r="B255" s="129" t="s">
        <v>393</v>
      </c>
      <c r="C255" s="129"/>
      <c r="D255" s="28"/>
      <c r="E255" s="129" t="s">
        <v>1088</v>
      </c>
      <c r="F255" s="129"/>
      <c r="G255" s="133"/>
      <c r="H255" s="133"/>
      <c r="I255" s="28" t="str">
        <f>CONCATENATE(I253,"_other")</f>
        <v>422_4b_other</v>
      </c>
      <c r="J255" s="43"/>
      <c r="K255" s="28"/>
      <c r="L255" s="19" t="s">
        <v>8</v>
      </c>
      <c r="M255" s="12"/>
      <c r="N255" s="14" t="str">
        <f>CONCATENATE("q",I255)</f>
        <v>q422_4b_other</v>
      </c>
      <c r="O255" s="86" t="str">
        <f>CONCATENATE(I255,". ",E255)</f>
        <v>422_4b_other. أخرى</v>
      </c>
      <c r="P255" s="86" t="str">
        <f>CONCATENATE($I255,". ",B255)</f>
        <v xml:space="preserve">422_4b_other. Other: </v>
      </c>
      <c r="Q255" s="28"/>
      <c r="R255" s="28"/>
      <c r="S255" s="86" t="str">
        <f>CONCATENATE(K254, " &amp;&amp; ", '1_0_statistical_identification'!$S$164)</f>
        <v>selected (data('q422_4a'), '97') &amp;&amp; (data('valid_overall') == 1)</v>
      </c>
      <c r="T255" s="86"/>
      <c r="U255" s="86"/>
      <c r="V255" s="28"/>
      <c r="Y255" s="14" t="b">
        <v>1</v>
      </c>
      <c r="Z255" s="161"/>
      <c r="AA255" s="19"/>
      <c r="AB255" s="19"/>
      <c r="AC255" s="14"/>
    </row>
    <row r="256" spans="1:29" s="1" customFormat="1" ht="15">
      <c r="A256" s="14"/>
      <c r="B256" s="129"/>
      <c r="C256" s="129"/>
      <c r="D256" s="28"/>
      <c r="E256" s="129"/>
      <c r="F256" s="129"/>
      <c r="G256" s="133"/>
      <c r="H256" s="134"/>
      <c r="I256" s="28"/>
      <c r="J256" s="43" t="s">
        <v>24</v>
      </c>
      <c r="K256" s="28"/>
      <c r="L256" s="19"/>
      <c r="M256" s="12"/>
      <c r="N256" s="14"/>
      <c r="O256" s="48"/>
      <c r="P256" s="31"/>
      <c r="Q256" s="28"/>
      <c r="R256" s="28"/>
      <c r="S256" s="31"/>
      <c r="T256" s="31"/>
      <c r="U256" s="31"/>
      <c r="V256" s="28"/>
      <c r="Y256" s="14"/>
      <c r="Z256" s="161"/>
      <c r="AA256" s="19"/>
      <c r="AB256" s="19"/>
      <c r="AC256" s="14"/>
    </row>
    <row r="257" spans="1:29" s="18" customFormat="1" ht="15">
      <c r="B257" s="131"/>
      <c r="C257" s="131"/>
      <c r="D257" s="30"/>
      <c r="E257" s="310"/>
      <c r="F257" s="310"/>
      <c r="G257" s="131"/>
      <c r="H257" s="131"/>
      <c r="I257" s="30"/>
      <c r="J257" s="18" t="s">
        <v>21</v>
      </c>
      <c r="O257" s="70"/>
      <c r="P257" s="30"/>
      <c r="Q257" s="30"/>
      <c r="R257" s="117"/>
      <c r="S257" s="30"/>
      <c r="T257" s="30"/>
      <c r="U257" s="30"/>
      <c r="V257" s="30"/>
      <c r="Y257" s="18" t="b">
        <v>1</v>
      </c>
    </row>
    <row r="258" spans="1:29" s="18" customFormat="1" ht="15">
      <c r="B258" s="131"/>
      <c r="C258" s="131"/>
      <c r="D258" s="30"/>
      <c r="E258" s="310"/>
      <c r="F258" s="310"/>
      <c r="G258" s="131"/>
      <c r="H258" s="131"/>
      <c r="I258" s="30"/>
      <c r="J258" s="18" t="s">
        <v>20</v>
      </c>
      <c r="O258" s="70"/>
      <c r="P258" s="30"/>
      <c r="Q258" s="30"/>
      <c r="R258" s="117"/>
      <c r="S258" s="30"/>
      <c r="T258" s="30"/>
      <c r="U258" s="30"/>
      <c r="V258" s="30"/>
      <c r="Y258" s="18" t="b">
        <v>1</v>
      </c>
    </row>
    <row r="259" spans="1:29" s="18" customFormat="1" ht="270">
      <c r="A259" s="14" t="str">
        <f>CONCATENATE("q",I259)</f>
        <v>q422_5a</v>
      </c>
      <c r="B259" s="131" t="s">
        <v>1294</v>
      </c>
      <c r="C259" s="131"/>
      <c r="D259" s="127" t="str">
        <f>CONCATENATE(INDEX(choices!D:D,MATCH(M259,choices!A:A,0)),"
",IF(M259=INDEX(choices!A:A,MATCH(M259,choices!A:A,0)+1),INDEX(choices!D:D,MATCH(M259,choices!A:A,0)+1),""),IF(M259=INDEX(choices!A:A,MATCH(M259,choices!A:A,0)+1), "
",""),IF(M259=INDEX(choices!A:A,MATCH(M259,choices!A:A,0)+2),INDEX(choices!D:D,MATCH(M259,choices!A:A,0)+2),""),IF(M259=INDEX(choices!A:A,MATCH(M259,choices!A:A,0)+2), "
",""),IF(M259=INDEX(choices!A:A,MATCH(M259,choices!A:A,0)+3),INDEX(choices!D:D,MATCH(M259,choices!A:A,0)+3),""),IF(M259=INDEX(choices!A:A,MATCH(M259,choices!A:A,0)+3), "
",""),IF(M259=INDEX(choices!A:A,MATCH(M259,choices!A:A,0)+4),INDEX(choices!D:D,MATCH(M259,choices!A:A,0)+4),""),IF(M259=INDEX(choices!A:A,MATCH(M259,choices!A:A,0)+4), "
",""),IF(M259=INDEX(choices!A:A,MATCH(M259,choices!A:A,0)+5),INDEX(choices!D:D,MATCH(M259,choices!A:A,0)+5),""),IF(M259=INDEX(choices!A:A,MATCH(M259,choices!A:A,0)+5), "
",""),IF(M259=INDEX(choices!A:A,MATCH(M259,choices!A:A,0)+6),INDEX(choices!D:D,MATCH(M259,choices!A:A,0)+6),""),IF(M259=INDEX(choices!A:A,MATCH(M259,choices!A:A,0)+6), "
",""),IF(M259=INDEX(choices!A:A,MATCH(M259,choices!A:A,0)+7),INDEX(choices!D:D,MATCH(M259,choices!A:A,0)+7),""),IF(M259=INDEX(choices!A:A,MATCH(M259,choices!A:A,0)+7), "
",""),IF(M259=INDEX(choices!A:A,MATCH(M259,choices!A:A,0)+8),INDEX(choices!D:D,MATCH(M259,choices!A:A,0)+8),""),IF(M259=INDEX(choices!A:A,MATCH(M259,choices!A:A,0)+8), "
",""),IF(M259=INDEX(choices!A:A,MATCH(M259,choices!A:A,0)+9),INDEX(choices!D:D,MATCH(M259,choices!A:A,0)+9),""),IF(M259=INDEX(choices!A:A,MATCH(M259,choices!A:A,0)+9), "
",""),IF(M259=INDEX(choices!A:A,MATCH(M259,choices!A:A,0)+10),INDEX(choices!D:D,MATCH(M259,choices!A:A,0)+10),""),IF(M259=INDEX(choices!A:A,MATCH(M259,choices!A:A,0)+10), "
",""),IF(M259=INDEX(choices!A:A,MATCH(M259,choices!A:A,0)+11),INDEX(choices!D:D,MATCH(M259,choices!A:A,0)+11),""),IF(M259=INDEX(choices!A:A,MATCH(M259,choices!A:A,0)+11), "
",""),IF(M259=INDEX(choices!A:A,MATCH(M259,choices!A:A,0)+12),INDEX(choices!D:D,MATCH(M259,choices!A:A,0)+12),""),IF(M259=INDEX(choices!A:A,MATCH(M259,choices!A:A,0)+12), "
",""),IF(M259=INDEX(choices!A:A,MATCH(M259,choices!A:A,0)+13),INDEX(choices!D:D,MATCH(M259,choices!A:A,0)+13),""),IF(M259=INDEX(choices!A:A,MATCH(M259,choices!A:A,0)+13), "
",""),IF(M259=INDEX(choices!A:A,MATCH(M259,choices!A:A,0)+14),INDEX(choices!D:D,MATCH(M259,choices!A:A,0)+14),""),IF(M259=INDEX(choices!A:A,MATCH(M259,choices!A:A,0)+14), "
",""),IF(M259=INDEX(choices!A:A,MATCH(M259,choices!A:A,0)+15),INDEX(choices!D:D,MATCH(M259,choices!A:A,0)+15),""),IF(M259=INDEX(choices!A:A,MATCH(M259,choices!A:A,0)+15), "
",""),IF(M259=INDEX(choices!A:A,MATCH(M259,choices!A:A,0)+16),INDEX(choices!D:D,MATCH(M259,choices!A:A,0)+16),""),IF(M259=INDEX(choices!A:A,MATCH(M259,choices!A:A,0)+16), "
",""),IF(M259=INDEX(choices!A:A,MATCH(M259,choices!A:A,0)+17),INDEX(choices!D:D,MATCH(M259,choices!A:A,0)+17),""),IF(M259=INDEX(choices!A:A,MATCH(M259,choices!A:A,0)+17), "
",""),IF(M259=INDEX(choices!A:A,MATCH(M259,choices!A:A,0)+18),INDEX(choices!D:D,MATCH(M259,choices!A:A,0)+18),""),IF(M259=INDEX(choices!A:A,MATCH(M259,choices!A:A,0)+18), "
",""),IF(M259=INDEX(choices!A:A,MATCH(M259,choices!A:A,0)+19),INDEX(choices!D:D,MATCH(M259,choices!A:A,0)+19),""),IF(M259=INDEX(choices!A:A,MATCH(M259,choices!A:A,0)+19), "
",""),IF(M259=INDEX(choices!A:A,MATCH(M259,choices!A:A,0)+20),INDEX(choices!D:D,MATCH(M259,choices!A:A,0)+20),""),IF(M259=INDEX(choices!A:A,MATCH(M259,choices!A:A,0)+20), "
",""))</f>
        <v xml:space="preserve">1. Walk
2. Public transportation
3. Microbus/Private minibus
4. Taxi
5. Toktok
6. Bike/motorcycle
7. Private car
8. School bus
9. Different modes 
97. Other
98. Don't know
</v>
      </c>
      <c r="E259" s="310" t="s">
        <v>1295</v>
      </c>
      <c r="F259" s="310"/>
      <c r="G259" s="67" t="str">
        <f>CONCATENATE(INDEX(choices!C:C,MATCH(M259,choices!A:A,0)),"
",IF(M259=INDEX(choices!A:A,MATCH(M259,choices!A:A,0)+1),INDEX(choices!C:C,MATCH(M259,choices!A:A,0)+1),""),IF(M259=INDEX(choices!A:A,MATCH(M259,choices!A:A,0)+1), "
",""),IF(M259=INDEX(choices!A:A,MATCH(M259,choices!A:A,0)+2),INDEX(choices!C:C,MATCH(M259,choices!A:A,0)+2),""),IF(M259=INDEX(choices!A:A,MATCH(M259,choices!A:A,0)+2), "
",""),IF(M259=INDEX(choices!A:A,MATCH(M259,choices!A:A,0)+3),INDEX(choices!C:C,MATCH(M259,choices!A:A,0)+3),""),IF(M259=INDEX(choices!A:A,MATCH(M259,choices!A:A,0)+3), "
",""),IF(M259=INDEX(choices!A:A,MATCH(M259,choices!A:A,0)+4),INDEX(choices!C:C,MATCH(M259,choices!A:A,0)+4),""),IF(M259=INDEX(choices!A:A,MATCH(M259,choices!A:A,0)+4), "
",""),IF(M259=INDEX(choices!A:A,MATCH(M259,choices!A:A,0)+5),INDEX(choices!C:C,MATCH(M259,choices!A:A,0)+5),""),IF(M259=INDEX(choices!A:A,MATCH(M259,choices!A:A,0)+5), "
",""),IF(M259=INDEX(choices!A:A,MATCH(M259,choices!A:A,0)+6),INDEX(choices!C:C,MATCH(M259,choices!A:A,0)+6),""),IF(M259=INDEX(choices!A:A,MATCH(M259,choices!A:A,0)+6), "
",""),IF(M259=INDEX(choices!A:A,MATCH(M259,choices!A:A,0)+7),INDEX(choices!C:C,MATCH(M259,choices!A:A,0)+7),""),IF(M259=INDEX(choices!A:A,MATCH(M259,choices!A:A,0)+7), "
",""),IF(M259=INDEX(choices!A:A,MATCH(M259,choices!A:A,0)+8),INDEX(choices!C:C,MATCH(M259,choices!A:A,0)+8),""),IF(M259=INDEX(choices!A:A,MATCH(M259,choices!A:A,0)+8), "
",""),IF(M259=INDEX(choices!A:A,MATCH(M259,choices!A:A,0)+9),INDEX(choices!C:C,MATCH(M259,choices!A:A,0)+9),""),IF(M259=INDEX(choices!A:A,MATCH(M259,choices!A:A,0)+9), "
",""),IF(M259=INDEX(choices!A:A,MATCH(M259,choices!A:A,0)+10),INDEX(choices!C:C,MATCH(M259,choices!A:A,0)+10),""),IF(M259=INDEX(choices!A:A,MATCH(M259,choices!A:A,0)+10), "
",""),IF(M259=INDEX(choices!A:A,MATCH(M259,choices!A:A,0)+11),INDEX(choices!C:C,MATCH(M259,choices!A:A,0)+11),""),IF(M259=INDEX(choices!A:A,MATCH(M259,choices!A:A,0)+11), "
",""),IF(M259=INDEX(choices!A:A,MATCH(M259,choices!A:A,0)+12),INDEX(choices!C:C,MATCH(M259,choices!A:A,0)+12),""),IF(M259=INDEX(choices!A:A,MATCH(M259,choices!A:A,0)+12), "
",""),IF(M259=INDEX(choices!A:A,MATCH(M259,choices!A:A,0)+13),INDEX(choices!C:C,MATCH(M259,choices!A:A,0)+13),""),IF(M259=INDEX(choices!A:A,MATCH(M259,choices!A:A,0)+13), "
",""),IF(M259=INDEX(choices!A:A,MATCH(M259,choices!A:A,0)+14),INDEX(choices!C:C,MATCH(M259,choices!A:A,0)+14),""),IF(M259=INDEX(choices!A:A,MATCH(M259,choices!A:A,0)+14), "
",""),IF(M259=INDEX(choices!A:A,MATCH(M259,choices!A:A,0)+15),INDEX(choices!C:C,MATCH(M259,choices!A:A,0)+15),""),IF(M259=INDEX(choices!A:A,MATCH(M259,choices!A:A,0)+15), "
",""),IF(M259=INDEX(choices!A:A,MATCH(M259,choices!A:A,0)+16),INDEX(choices!C:C,MATCH(M259,choices!A:A,0)+16),""),IF(M259=INDEX(choices!A:A,MATCH(M259,choices!A:A,0)+16), "
",""),IF(M259=INDEX(choices!A:A,MATCH(M259,choices!A:A,0)+17),INDEX(choices!C:C,MATCH(M259,choices!A:A,0)+17),""),IF(M259=INDEX(choices!A:A,MATCH(M259,choices!A:A,0)+17), "
",""),IF(M259=INDEX(choices!A:A,MATCH(M259,choices!A:A,0)+18),INDEX(choices!C:C,MATCH(M259,choices!A:A,0)+18),""),IF(M259=INDEX(choices!A:A,MATCH(M259,choices!A:A,0)+18), "
",""),IF(M259=INDEX(choices!A:A,MATCH(M259,choices!A:A,0)+19),INDEX(choices!C:C,MATCH(M259,choices!A:A,0)+19),""),IF(M259=INDEX(choices!A:A,MATCH(M259,choices!A:A,0)+19), "
",""),IF(M259=INDEX(choices!A:A,MATCH(M259,choices!A:A,0)+20),INDEX(choices!C:C,MATCH(M259,choices!A:A,0)+20),""),IF(M259=INDEX(choices!A:A,MATCH(M259,choices!A:A,0)+20), "
","")," ")</f>
        <v xml:space="preserve">1. المشي  
2. مواصلات عامة
3. ميكروباص/مينى باص خاص  
4. تاكسي 
5. توك توك
6.  دراجة / موتوسيكل
7. سيارة خاصة
8. أتوبيس المدرسة
 9. وسائل مختلفة
97. أخرى
98. لا أعرف
 </v>
      </c>
      <c r="H259" s="131"/>
      <c r="I259" s="30" t="str">
        <f>CONCATENATE(I230, "_5", "a")</f>
        <v>422_5a</v>
      </c>
      <c r="L259" s="18" t="s">
        <v>18</v>
      </c>
      <c r="M259" s="18" t="s">
        <v>36</v>
      </c>
      <c r="N259" s="18" t="str">
        <f>CONCATENATE(A230, "_5", "a")</f>
        <v>q422_5a</v>
      </c>
      <c r="O259" s="86" t="str">
        <f>CONCATENATE(I259,". ",E259)</f>
        <v xml:space="preserve">422_5a. ما هي وسيلة المواصلات الأكثر استخداما للذهاب إلى مستشفى؟
</v>
      </c>
      <c r="P259" s="127" t="str">
        <f>CONCATENATE(I259, ". ", B259)</f>
        <v>422_5a. What is the most used type of transportation to a hospital?</v>
      </c>
      <c r="Q259" s="30"/>
      <c r="R259" s="117"/>
      <c r="S259" s="127" t="str">
        <f>'1_0_statistical_identification'!S164</f>
        <v>(data('valid_overall') == 1)</v>
      </c>
      <c r="T259" s="127"/>
      <c r="U259" s="127"/>
      <c r="V259" s="30"/>
      <c r="Y259" s="18" t="b">
        <v>1</v>
      </c>
    </row>
    <row r="260" spans="1:29" s="18" customFormat="1" ht="60">
      <c r="A260" s="14" t="str">
        <f>CONCATENATE("q",I260)</f>
        <v>q422_5b</v>
      </c>
      <c r="B260" s="131" t="s">
        <v>423</v>
      </c>
      <c r="C260" s="48" t="str">
        <f>CONCATENATE("Hints: ", R260)</f>
        <v>Hints: in minutes 
998 if don't know</v>
      </c>
      <c r="D260" s="58" t="s">
        <v>472</v>
      </c>
      <c r="E260" s="310" t="s">
        <v>1127</v>
      </c>
      <c r="F260" s="48" t="str">
        <f>CONCATENATE("Hints: ",Q260, )</f>
        <v>Hints: في دقائق
998 لا أعرف</v>
      </c>
      <c r="G260" s="70" t="s">
        <v>473</v>
      </c>
      <c r="H260" s="131"/>
      <c r="I260" s="30" t="str">
        <f>CONCATENATE(I230, "_5", "b")</f>
        <v>422_5b</v>
      </c>
      <c r="L260" s="18" t="s">
        <v>19</v>
      </c>
      <c r="N260" s="18" t="str">
        <f>CONCATENATE(A230, "_5", "b")</f>
        <v>q422_5b</v>
      </c>
      <c r="O260" s="86" t="str">
        <f>CONCATENATE(I260,". ",E260)</f>
        <v xml:space="preserve">422_5b. ما هى مدة الرحلة؟ </v>
      </c>
      <c r="P260" s="127" t="str">
        <f>CONCATENATE(I260, ". ", B260)</f>
        <v xml:space="preserve">422_5b.  Length of trip </v>
      </c>
      <c r="Q260" s="70" t="str">
        <f>G260</f>
        <v>في دقائق
998 لا أعرف</v>
      </c>
      <c r="R260" s="117" t="str">
        <f>D260</f>
        <v>in minutes 
998 if don't know</v>
      </c>
      <c r="S260" s="127" t="str">
        <f>'1_0_statistical_identification'!S164</f>
        <v>(data('valid_overall') == 1)</v>
      </c>
      <c r="T260" s="127"/>
      <c r="U260" s="127"/>
      <c r="V260" s="30"/>
      <c r="Y260" s="8" t="b">
        <v>1</v>
      </c>
    </row>
    <row r="261" spans="1:29" s="1" customFormat="1" ht="45">
      <c r="A261" s="14"/>
      <c r="B261" s="129"/>
      <c r="C261" s="129"/>
      <c r="D261" s="28"/>
      <c r="E261" s="129"/>
      <c r="F261" s="129"/>
      <c r="G261" s="133"/>
      <c r="H261" s="133"/>
      <c r="I261" s="28"/>
      <c r="J261" s="43" t="s">
        <v>23</v>
      </c>
      <c r="K261" s="28" t="str">
        <f>CONCATENATE("selected (data('",A259,"'), '97')")</f>
        <v>selected (data('q422_5a'), '97')</v>
      </c>
      <c r="L261" s="19"/>
      <c r="M261" s="12"/>
      <c r="N261" s="14"/>
      <c r="O261" s="48"/>
      <c r="P261" s="31"/>
      <c r="Q261" s="28"/>
      <c r="R261" s="28"/>
      <c r="S261" s="31"/>
      <c r="T261" s="31"/>
      <c r="U261" s="31"/>
      <c r="V261" s="28"/>
      <c r="Y261" s="14"/>
      <c r="Z261" s="161"/>
      <c r="AA261" s="19"/>
      <c r="AB261" s="19"/>
      <c r="AC261" s="14"/>
    </row>
    <row r="262" spans="1:29" s="1" customFormat="1" ht="75">
      <c r="A262" s="14" t="str">
        <f>CONCATENATE("q",I262)</f>
        <v>q422_5b_other</v>
      </c>
      <c r="B262" s="129" t="s">
        <v>393</v>
      </c>
      <c r="C262" s="129"/>
      <c r="D262" s="28"/>
      <c r="E262" s="129" t="s">
        <v>1088</v>
      </c>
      <c r="F262" s="129"/>
      <c r="G262" s="133"/>
      <c r="H262" s="133"/>
      <c r="I262" s="28" t="str">
        <f>CONCATENATE(I260,"_other")</f>
        <v>422_5b_other</v>
      </c>
      <c r="J262" s="43"/>
      <c r="K262" s="28"/>
      <c r="L262" s="19" t="s">
        <v>8</v>
      </c>
      <c r="M262" s="12"/>
      <c r="N262" s="14" t="str">
        <f>CONCATENATE("q",I262)</f>
        <v>q422_5b_other</v>
      </c>
      <c r="O262" s="86" t="str">
        <f>CONCATENATE(I262,". ",E262)</f>
        <v>422_5b_other. أخرى</v>
      </c>
      <c r="P262" s="86" t="str">
        <f>CONCATENATE($I262,". ",B262)</f>
        <v xml:space="preserve">422_5b_other. Other: </v>
      </c>
      <c r="Q262" s="28"/>
      <c r="R262" s="28"/>
      <c r="S262" s="86" t="str">
        <f>CONCATENATE(K261, " &amp;&amp; ", '1_0_statistical_identification'!$S$164)</f>
        <v>selected (data('q422_5a'), '97') &amp;&amp; (data('valid_overall') == 1)</v>
      </c>
      <c r="T262" s="86"/>
      <c r="U262" s="86"/>
      <c r="V262" s="28"/>
      <c r="Y262" s="14" t="b">
        <v>1</v>
      </c>
      <c r="Z262" s="161"/>
      <c r="AA262" s="19"/>
      <c r="AB262" s="19"/>
      <c r="AC262" s="14"/>
    </row>
    <row r="263" spans="1:29" s="1" customFormat="1" ht="15">
      <c r="A263" s="14"/>
      <c r="B263" s="129"/>
      <c r="C263" s="129"/>
      <c r="D263" s="28"/>
      <c r="E263" s="129"/>
      <c r="F263" s="129"/>
      <c r="G263" s="133"/>
      <c r="H263" s="134"/>
      <c r="I263" s="28"/>
      <c r="J263" s="43" t="s">
        <v>24</v>
      </c>
      <c r="K263" s="28"/>
      <c r="L263" s="19"/>
      <c r="M263" s="12"/>
      <c r="N263" s="14"/>
      <c r="O263" s="48"/>
      <c r="P263" s="31"/>
      <c r="Q263" s="28"/>
      <c r="R263" s="28"/>
      <c r="S263" s="31"/>
      <c r="T263" s="31"/>
      <c r="U263" s="31"/>
      <c r="V263" s="28"/>
      <c r="Y263" s="14"/>
      <c r="Z263" s="161"/>
      <c r="AA263" s="19"/>
      <c r="AB263" s="19"/>
      <c r="AC263" s="14"/>
    </row>
    <row r="264" spans="1:29" s="18" customFormat="1" ht="15">
      <c r="B264" s="131"/>
      <c r="C264" s="131"/>
      <c r="D264" s="30"/>
      <c r="E264" s="310"/>
      <c r="F264" s="310"/>
      <c r="G264" s="131"/>
      <c r="H264" s="131"/>
      <c r="I264" s="30"/>
      <c r="J264" s="18" t="s">
        <v>21</v>
      </c>
      <c r="O264" s="70"/>
      <c r="P264" s="30"/>
      <c r="Q264" s="30"/>
      <c r="R264" s="117"/>
      <c r="S264" s="30"/>
      <c r="T264" s="30"/>
      <c r="U264" s="30"/>
      <c r="V264" s="30"/>
      <c r="Y264" s="18" t="b">
        <v>1</v>
      </c>
    </row>
    <row r="265" spans="1:29" s="18" customFormat="1" ht="15">
      <c r="B265" s="131"/>
      <c r="C265" s="131"/>
      <c r="D265" s="30"/>
      <c r="E265" s="310"/>
      <c r="F265" s="310"/>
      <c r="G265" s="131"/>
      <c r="H265" s="131"/>
      <c r="I265" s="30"/>
      <c r="J265" s="18" t="s">
        <v>20</v>
      </c>
      <c r="O265" s="70"/>
      <c r="P265" s="30"/>
      <c r="Q265" s="30"/>
      <c r="R265" s="117"/>
      <c r="S265" s="30"/>
      <c r="T265" s="30"/>
      <c r="U265" s="30"/>
      <c r="V265" s="30"/>
      <c r="Y265" s="18" t="b">
        <v>1</v>
      </c>
    </row>
    <row r="266" spans="1:29" s="18" customFormat="1" ht="270">
      <c r="A266" s="14" t="str">
        <f>CONCATENATE("q",I266)</f>
        <v>q422_6a</v>
      </c>
      <c r="B266" s="131" t="s">
        <v>1202</v>
      </c>
      <c r="C266" s="131"/>
      <c r="D266" s="127" t="str">
        <f>CONCATENATE(INDEX(choices!D:D,MATCH(M266,choices!A:A,0)),"
",IF(M266=INDEX(choices!A:A,MATCH(M266,choices!A:A,0)+1),INDEX(choices!D:D,MATCH(M266,choices!A:A,0)+1),""),IF(M266=INDEX(choices!A:A,MATCH(M266,choices!A:A,0)+1), "
",""),IF(M266=INDEX(choices!A:A,MATCH(M266,choices!A:A,0)+2),INDEX(choices!D:D,MATCH(M266,choices!A:A,0)+2),""),IF(M266=INDEX(choices!A:A,MATCH(M266,choices!A:A,0)+2), "
",""),IF(M266=INDEX(choices!A:A,MATCH(M266,choices!A:A,0)+3),INDEX(choices!D:D,MATCH(M266,choices!A:A,0)+3),""),IF(M266=INDEX(choices!A:A,MATCH(M266,choices!A:A,0)+3), "
",""),IF(M266=INDEX(choices!A:A,MATCH(M266,choices!A:A,0)+4),INDEX(choices!D:D,MATCH(M266,choices!A:A,0)+4),""),IF(M266=INDEX(choices!A:A,MATCH(M266,choices!A:A,0)+4), "
",""),IF(M266=INDEX(choices!A:A,MATCH(M266,choices!A:A,0)+5),INDEX(choices!D:D,MATCH(M266,choices!A:A,0)+5),""),IF(M266=INDEX(choices!A:A,MATCH(M266,choices!A:A,0)+5), "
",""),IF(M266=INDEX(choices!A:A,MATCH(M266,choices!A:A,0)+6),INDEX(choices!D:D,MATCH(M266,choices!A:A,0)+6),""),IF(M266=INDEX(choices!A:A,MATCH(M266,choices!A:A,0)+6), "
",""),IF(M266=INDEX(choices!A:A,MATCH(M266,choices!A:A,0)+7),INDEX(choices!D:D,MATCH(M266,choices!A:A,0)+7),""),IF(M266=INDEX(choices!A:A,MATCH(M266,choices!A:A,0)+7), "
",""),IF(M266=INDEX(choices!A:A,MATCH(M266,choices!A:A,0)+8),INDEX(choices!D:D,MATCH(M266,choices!A:A,0)+8),""),IF(M266=INDEX(choices!A:A,MATCH(M266,choices!A:A,0)+8), "
",""),IF(M266=INDEX(choices!A:A,MATCH(M266,choices!A:A,0)+9),INDEX(choices!D:D,MATCH(M266,choices!A:A,0)+9),""),IF(M266=INDEX(choices!A:A,MATCH(M266,choices!A:A,0)+9), "
",""),IF(M266=INDEX(choices!A:A,MATCH(M266,choices!A:A,0)+10),INDEX(choices!D:D,MATCH(M266,choices!A:A,0)+10),""),IF(M266=INDEX(choices!A:A,MATCH(M266,choices!A:A,0)+10), "
",""),IF(M266=INDEX(choices!A:A,MATCH(M266,choices!A:A,0)+11),INDEX(choices!D:D,MATCH(M266,choices!A:A,0)+11),""),IF(M266=INDEX(choices!A:A,MATCH(M266,choices!A:A,0)+11), "
",""),IF(M266=INDEX(choices!A:A,MATCH(M266,choices!A:A,0)+12),INDEX(choices!D:D,MATCH(M266,choices!A:A,0)+12),""),IF(M266=INDEX(choices!A:A,MATCH(M266,choices!A:A,0)+12), "
",""),IF(M266=INDEX(choices!A:A,MATCH(M266,choices!A:A,0)+13),INDEX(choices!D:D,MATCH(M266,choices!A:A,0)+13),""),IF(M266=INDEX(choices!A:A,MATCH(M266,choices!A:A,0)+13), "
",""),IF(M266=INDEX(choices!A:A,MATCH(M266,choices!A:A,0)+14),INDEX(choices!D:D,MATCH(M266,choices!A:A,0)+14),""),IF(M266=INDEX(choices!A:A,MATCH(M266,choices!A:A,0)+14), "
",""),IF(M266=INDEX(choices!A:A,MATCH(M266,choices!A:A,0)+15),INDEX(choices!D:D,MATCH(M266,choices!A:A,0)+15),""),IF(M266=INDEX(choices!A:A,MATCH(M266,choices!A:A,0)+15), "
",""),IF(M266=INDEX(choices!A:A,MATCH(M266,choices!A:A,0)+16),INDEX(choices!D:D,MATCH(M266,choices!A:A,0)+16),""),IF(M266=INDEX(choices!A:A,MATCH(M266,choices!A:A,0)+16), "
",""),IF(M266=INDEX(choices!A:A,MATCH(M266,choices!A:A,0)+17),INDEX(choices!D:D,MATCH(M266,choices!A:A,0)+17),""),IF(M266=INDEX(choices!A:A,MATCH(M266,choices!A:A,0)+17), "
",""),IF(M266=INDEX(choices!A:A,MATCH(M266,choices!A:A,0)+18),INDEX(choices!D:D,MATCH(M266,choices!A:A,0)+18),""),IF(M266=INDEX(choices!A:A,MATCH(M266,choices!A:A,0)+18), "
",""),IF(M266=INDEX(choices!A:A,MATCH(M266,choices!A:A,0)+19),INDEX(choices!D:D,MATCH(M266,choices!A:A,0)+19),""),IF(M266=INDEX(choices!A:A,MATCH(M266,choices!A:A,0)+19), "
",""),IF(M266=INDEX(choices!A:A,MATCH(M266,choices!A:A,0)+20),INDEX(choices!D:D,MATCH(M266,choices!A:A,0)+20),""),IF(M266=INDEX(choices!A:A,MATCH(M266,choices!A:A,0)+20), "
",""))</f>
        <v xml:space="preserve">1. Walk
2. Public transportation
3. Microbus/Private minibus
4. Taxi
5. Toktok
6. Bike/motorcycle
7. Private car
8. School bus
9. Different modes 
97. Other
98. Don't know
</v>
      </c>
      <c r="E266" s="310" t="s">
        <v>1131</v>
      </c>
      <c r="F266" s="310"/>
      <c r="G266" s="67" t="str">
        <f>CONCATENATE(INDEX(choices!C:C,MATCH(M266,choices!A:A,0)),"
",IF(M266=INDEX(choices!A:A,MATCH(M266,choices!A:A,0)+1),INDEX(choices!C:C,MATCH(M266,choices!A:A,0)+1),""),IF(M266=INDEX(choices!A:A,MATCH(M266,choices!A:A,0)+1), "
",""),IF(M266=INDEX(choices!A:A,MATCH(M266,choices!A:A,0)+2),INDEX(choices!C:C,MATCH(M266,choices!A:A,0)+2),""),IF(M266=INDEX(choices!A:A,MATCH(M266,choices!A:A,0)+2), "
",""),IF(M266=INDEX(choices!A:A,MATCH(M266,choices!A:A,0)+3),INDEX(choices!C:C,MATCH(M266,choices!A:A,0)+3),""),IF(M266=INDEX(choices!A:A,MATCH(M266,choices!A:A,0)+3), "
",""),IF(M266=INDEX(choices!A:A,MATCH(M266,choices!A:A,0)+4),INDEX(choices!C:C,MATCH(M266,choices!A:A,0)+4),""),IF(M266=INDEX(choices!A:A,MATCH(M266,choices!A:A,0)+4), "
",""),IF(M266=INDEX(choices!A:A,MATCH(M266,choices!A:A,0)+5),INDEX(choices!C:C,MATCH(M266,choices!A:A,0)+5),""),IF(M266=INDEX(choices!A:A,MATCH(M266,choices!A:A,0)+5), "
",""),IF(M266=INDEX(choices!A:A,MATCH(M266,choices!A:A,0)+6),INDEX(choices!C:C,MATCH(M266,choices!A:A,0)+6),""),IF(M266=INDEX(choices!A:A,MATCH(M266,choices!A:A,0)+6), "
",""),IF(M266=INDEX(choices!A:A,MATCH(M266,choices!A:A,0)+7),INDEX(choices!C:C,MATCH(M266,choices!A:A,0)+7),""),IF(M266=INDEX(choices!A:A,MATCH(M266,choices!A:A,0)+7), "
",""),IF(M266=INDEX(choices!A:A,MATCH(M266,choices!A:A,0)+8),INDEX(choices!C:C,MATCH(M266,choices!A:A,0)+8),""),IF(M266=INDEX(choices!A:A,MATCH(M266,choices!A:A,0)+8), "
",""),IF(M266=INDEX(choices!A:A,MATCH(M266,choices!A:A,0)+9),INDEX(choices!C:C,MATCH(M266,choices!A:A,0)+9),""),IF(M266=INDEX(choices!A:A,MATCH(M266,choices!A:A,0)+9), "
",""),IF(M266=INDEX(choices!A:A,MATCH(M266,choices!A:A,0)+10),INDEX(choices!C:C,MATCH(M266,choices!A:A,0)+10),""),IF(M266=INDEX(choices!A:A,MATCH(M266,choices!A:A,0)+10), "
",""),IF(M266=INDEX(choices!A:A,MATCH(M266,choices!A:A,0)+11),INDEX(choices!C:C,MATCH(M266,choices!A:A,0)+11),""),IF(M266=INDEX(choices!A:A,MATCH(M266,choices!A:A,0)+11), "
",""),IF(M266=INDEX(choices!A:A,MATCH(M266,choices!A:A,0)+12),INDEX(choices!C:C,MATCH(M266,choices!A:A,0)+12),""),IF(M266=INDEX(choices!A:A,MATCH(M266,choices!A:A,0)+12), "
",""),IF(M266=INDEX(choices!A:A,MATCH(M266,choices!A:A,0)+13),INDEX(choices!C:C,MATCH(M266,choices!A:A,0)+13),""),IF(M266=INDEX(choices!A:A,MATCH(M266,choices!A:A,0)+13), "
",""),IF(M266=INDEX(choices!A:A,MATCH(M266,choices!A:A,0)+14),INDEX(choices!C:C,MATCH(M266,choices!A:A,0)+14),""),IF(M266=INDEX(choices!A:A,MATCH(M266,choices!A:A,0)+14), "
",""),IF(M266=INDEX(choices!A:A,MATCH(M266,choices!A:A,0)+15),INDEX(choices!C:C,MATCH(M266,choices!A:A,0)+15),""),IF(M266=INDEX(choices!A:A,MATCH(M266,choices!A:A,0)+15), "
",""),IF(M266=INDEX(choices!A:A,MATCH(M266,choices!A:A,0)+16),INDEX(choices!C:C,MATCH(M266,choices!A:A,0)+16),""),IF(M266=INDEX(choices!A:A,MATCH(M266,choices!A:A,0)+16), "
",""),IF(M266=INDEX(choices!A:A,MATCH(M266,choices!A:A,0)+17),INDEX(choices!C:C,MATCH(M266,choices!A:A,0)+17),""),IF(M266=INDEX(choices!A:A,MATCH(M266,choices!A:A,0)+17), "
",""),IF(M266=INDEX(choices!A:A,MATCH(M266,choices!A:A,0)+18),INDEX(choices!C:C,MATCH(M266,choices!A:A,0)+18),""),IF(M266=INDEX(choices!A:A,MATCH(M266,choices!A:A,0)+18), "
",""),IF(M266=INDEX(choices!A:A,MATCH(M266,choices!A:A,0)+19),INDEX(choices!C:C,MATCH(M266,choices!A:A,0)+19),""),IF(M266=INDEX(choices!A:A,MATCH(M266,choices!A:A,0)+19), "
",""),IF(M266=INDEX(choices!A:A,MATCH(M266,choices!A:A,0)+20),INDEX(choices!C:C,MATCH(M266,choices!A:A,0)+20),""),IF(M266=INDEX(choices!A:A,MATCH(M266,choices!A:A,0)+20), "
","")," ")</f>
        <v xml:space="preserve">1. المشي  
2. مواصلات عامة
3. ميكروباص/مينى باص خاص  
4. تاكسي 
5. توك توك
6.  دراجة / موتوسيكل
7. سيارة خاصة
8. أتوبيس المدرسة
 9. وسائل مختلفة
97. أخرى
98. لا أعرف
 </v>
      </c>
      <c r="H266" s="131"/>
      <c r="I266" s="30" t="str">
        <f>CONCATENATE(I230, "_6", "a")</f>
        <v>422_6a</v>
      </c>
      <c r="L266" s="18" t="s">
        <v>18</v>
      </c>
      <c r="M266" s="18" t="s">
        <v>36</v>
      </c>
      <c r="N266" s="18" t="str">
        <f>CONCATENATE(A230, "_6", "a")</f>
        <v>q422_6a</v>
      </c>
      <c r="O266" s="86" t="str">
        <f>CONCATENATE(I266,". ",E266)</f>
        <v xml:space="preserve">422_6a. ما هي وسيلة المواصلات الأكثر استخداما للذهاب إلى الحضانة/الروضة/مدرسة ما قبل التعليم الابتدائى/ مركز الطفولة المبكرة؟
</v>
      </c>
      <c r="P266" s="127" t="str">
        <f>CONCATENATE(I266, ". ", B266)</f>
        <v>422_6a. What is the most used type of transportation to a daycare/nursery/preschool/early childhood center?</v>
      </c>
      <c r="Q266" s="30"/>
      <c r="R266" s="117"/>
      <c r="S266" s="127" t="str">
        <f>'1_0_statistical_identification'!S164</f>
        <v>(data('valid_overall') == 1)</v>
      </c>
      <c r="T266" s="127"/>
      <c r="U266" s="127"/>
      <c r="V266" s="30"/>
      <c r="Y266" s="18" t="b">
        <v>1</v>
      </c>
    </row>
    <row r="267" spans="1:29" s="18" customFormat="1" ht="60">
      <c r="A267" s="14" t="str">
        <f>CONCATENATE("q",I267)</f>
        <v>q422_6b</v>
      </c>
      <c r="B267" s="131" t="s">
        <v>423</v>
      </c>
      <c r="C267" s="48" t="str">
        <f>CONCATENATE("Hints: ", R267)</f>
        <v>Hints: in minutes 
998 if don't know</v>
      </c>
      <c r="D267" s="58" t="s">
        <v>472</v>
      </c>
      <c r="E267" s="310" t="s">
        <v>1127</v>
      </c>
      <c r="F267" s="48" t="str">
        <f>CONCATENATE("Hints: ",Q267, )</f>
        <v>Hints: في دقائق
998 لا أعرف</v>
      </c>
      <c r="G267" s="70" t="s">
        <v>473</v>
      </c>
      <c r="H267" s="131"/>
      <c r="I267" s="30" t="str">
        <f>CONCATENATE(I230, "_6", "b")</f>
        <v>422_6b</v>
      </c>
      <c r="L267" s="18" t="s">
        <v>19</v>
      </c>
      <c r="N267" s="18" t="str">
        <f>CONCATENATE(A230, "_6", "b")</f>
        <v>q422_6b</v>
      </c>
      <c r="O267" s="86" t="str">
        <f>CONCATENATE(I267,". ",E267)</f>
        <v xml:space="preserve">422_6b. ما هى مدة الرحلة؟ </v>
      </c>
      <c r="P267" s="127" t="str">
        <f>CONCATENATE(I267, ". ", B267)</f>
        <v xml:space="preserve">422_6b.  Length of trip </v>
      </c>
      <c r="Q267" s="70" t="str">
        <f>G267</f>
        <v>في دقائق
998 لا أعرف</v>
      </c>
      <c r="R267" s="117" t="str">
        <f>D267</f>
        <v>in minutes 
998 if don't know</v>
      </c>
      <c r="S267" s="127" t="str">
        <f>'1_0_statistical_identification'!S164</f>
        <v>(data('valid_overall') == 1)</v>
      </c>
      <c r="T267" s="127"/>
      <c r="U267" s="127"/>
      <c r="V267" s="30"/>
      <c r="Y267" s="8" t="b">
        <v>1</v>
      </c>
    </row>
    <row r="268" spans="1:29" s="1" customFormat="1" ht="45">
      <c r="A268" s="14"/>
      <c r="B268" s="129"/>
      <c r="C268" s="129"/>
      <c r="D268" s="28"/>
      <c r="E268" s="129"/>
      <c r="F268" s="129"/>
      <c r="G268" s="133"/>
      <c r="H268" s="133"/>
      <c r="I268" s="28"/>
      <c r="J268" s="43" t="s">
        <v>23</v>
      </c>
      <c r="K268" s="28" t="str">
        <f>CONCATENATE("selected (data('",A266,"'), '97')")</f>
        <v>selected (data('q422_6a'), '97')</v>
      </c>
      <c r="L268" s="19"/>
      <c r="M268" s="12"/>
      <c r="N268" s="14"/>
      <c r="O268" s="48"/>
      <c r="P268" s="31"/>
      <c r="Q268" s="28"/>
      <c r="R268" s="28"/>
      <c r="S268" s="31"/>
      <c r="T268" s="31"/>
      <c r="U268" s="31"/>
      <c r="V268" s="28"/>
      <c r="Y268" s="14"/>
      <c r="Z268" s="161"/>
      <c r="AA268" s="19"/>
      <c r="AB268" s="19"/>
      <c r="AC268" s="14"/>
    </row>
    <row r="269" spans="1:29" s="1" customFormat="1" ht="75">
      <c r="A269" s="14" t="str">
        <f>CONCATENATE("q",I269)</f>
        <v>q422_6b_other</v>
      </c>
      <c r="B269" s="129" t="s">
        <v>393</v>
      </c>
      <c r="C269" s="129"/>
      <c r="D269" s="28"/>
      <c r="E269" s="129" t="s">
        <v>1088</v>
      </c>
      <c r="F269" s="129"/>
      <c r="G269" s="133"/>
      <c r="H269" s="133"/>
      <c r="I269" s="28" t="str">
        <f>CONCATENATE(I267,"_other")</f>
        <v>422_6b_other</v>
      </c>
      <c r="J269" s="43"/>
      <c r="K269" s="28"/>
      <c r="L269" s="19" t="s">
        <v>8</v>
      </c>
      <c r="M269" s="12"/>
      <c r="N269" s="14" t="str">
        <f>CONCATENATE("q",I269)</f>
        <v>q422_6b_other</v>
      </c>
      <c r="O269" s="86" t="str">
        <f>CONCATENATE(I269,". ",E269)</f>
        <v>422_6b_other. أخرى</v>
      </c>
      <c r="P269" s="86" t="str">
        <f>CONCATENATE($I269,". ",B269)</f>
        <v xml:space="preserve">422_6b_other. Other: </v>
      </c>
      <c r="Q269" s="28"/>
      <c r="R269" s="28"/>
      <c r="S269" s="86" t="str">
        <f>CONCATENATE(K268, " &amp;&amp; ", '1_0_statistical_identification'!$S$164)</f>
        <v>selected (data('q422_6a'), '97') &amp;&amp; (data('valid_overall') == 1)</v>
      </c>
      <c r="T269" s="86"/>
      <c r="U269" s="86"/>
      <c r="V269" s="28"/>
      <c r="Y269" s="14" t="b">
        <v>1</v>
      </c>
      <c r="Z269" s="161"/>
      <c r="AA269" s="19"/>
      <c r="AB269" s="19"/>
      <c r="AC269" s="14"/>
    </row>
    <row r="270" spans="1:29" s="1" customFormat="1" ht="15">
      <c r="A270" s="14"/>
      <c r="B270" s="129"/>
      <c r="C270" s="129"/>
      <c r="D270" s="28"/>
      <c r="E270" s="129"/>
      <c r="F270" s="129"/>
      <c r="G270" s="133"/>
      <c r="H270" s="134"/>
      <c r="I270" s="28"/>
      <c r="J270" s="43" t="s">
        <v>24</v>
      </c>
      <c r="K270" s="28"/>
      <c r="L270" s="19"/>
      <c r="M270" s="12"/>
      <c r="N270" s="14"/>
      <c r="O270" s="48"/>
      <c r="P270" s="31"/>
      <c r="Q270" s="28"/>
      <c r="R270" s="28"/>
      <c r="S270" s="31"/>
      <c r="T270" s="31"/>
      <c r="U270" s="31"/>
      <c r="V270" s="28"/>
      <c r="Y270" s="14"/>
      <c r="Z270" s="161"/>
      <c r="AA270" s="19"/>
      <c r="AB270" s="19"/>
      <c r="AC270" s="14"/>
    </row>
    <row r="271" spans="1:29" s="18" customFormat="1" ht="15">
      <c r="B271" s="131"/>
      <c r="C271" s="131"/>
      <c r="D271" s="30"/>
      <c r="E271" s="310"/>
      <c r="F271" s="310"/>
      <c r="G271" s="131"/>
      <c r="H271" s="131"/>
      <c r="I271" s="30"/>
      <c r="J271" s="18" t="s">
        <v>21</v>
      </c>
      <c r="O271" s="70"/>
      <c r="P271" s="30"/>
      <c r="Q271" s="30"/>
      <c r="R271" s="117"/>
      <c r="S271" s="30"/>
      <c r="T271" s="30"/>
      <c r="U271" s="30"/>
      <c r="V271" s="30"/>
      <c r="Y271" s="18" t="b">
        <v>1</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opLeftCell="G1" workbookViewId="0">
      <pane ySplit="2" topLeftCell="A17" activePane="bottomLeft" state="frozen"/>
      <selection pane="bottomLeft" activeCell="L20" sqref="L20:M20"/>
    </sheetView>
  </sheetViews>
  <sheetFormatPr defaultColWidth="11.42578125" defaultRowHeight="15"/>
  <cols>
    <col min="1" max="1" width="10.42578125" style="18" bestFit="1" customWidth="1"/>
    <col min="2" max="4" width="14.42578125" style="30" customWidth="1"/>
    <col min="5" max="5" width="14.42578125" style="70" customWidth="1"/>
    <col min="6" max="6" width="12" style="70" bestFit="1" customWidth="1"/>
    <col min="7" max="7" width="10.85546875" style="30" bestFit="1" customWidth="1"/>
    <col min="8" max="8" width="12.42578125" style="30" bestFit="1" customWidth="1"/>
    <col min="9" max="9" width="10.28515625" style="18" bestFit="1" customWidth="1"/>
    <col min="10" max="10" width="12.28515625" style="18" bestFit="1" customWidth="1"/>
    <col min="11" max="11" width="9.42578125" style="18" bestFit="1" customWidth="1"/>
    <col min="12" max="12" width="18.42578125" style="18" bestFit="1" customWidth="1"/>
    <col min="13" max="14" width="20.42578125" style="18" customWidth="1"/>
    <col min="15" max="16" width="12.42578125" style="30" customWidth="1"/>
    <col min="17" max="17" width="12.42578125" style="70" customWidth="1"/>
    <col min="18" max="18" width="12.42578125" style="30" customWidth="1"/>
    <col min="19" max="19" width="12.42578125" style="18" customWidth="1"/>
    <col min="20" max="21" width="12.42578125" style="30" customWidth="1"/>
    <col min="22" max="22" width="23" style="30" customWidth="1"/>
    <col min="23" max="24" width="12.42578125" style="18" customWidth="1"/>
    <col min="25" max="25" width="15.42578125" style="18" customWidth="1"/>
    <col min="26" max="26" width="17.42578125" style="18" customWidth="1"/>
    <col min="27" max="27" width="16" style="18" customWidth="1"/>
    <col min="28" max="16384" width="11.42578125" style="18"/>
  </cols>
  <sheetData>
    <row r="1" spans="1:29" s="332" customFormat="1" ht="39">
      <c r="A1" s="332" t="s">
        <v>5</v>
      </c>
      <c r="B1" s="94" t="s">
        <v>5</v>
      </c>
      <c r="C1" s="94" t="s">
        <v>5</v>
      </c>
      <c r="D1" s="94" t="s">
        <v>5</v>
      </c>
      <c r="E1" s="94" t="s">
        <v>5</v>
      </c>
      <c r="F1" s="94" t="s">
        <v>5</v>
      </c>
      <c r="G1" s="94" t="s">
        <v>5</v>
      </c>
      <c r="H1" s="94" t="s">
        <v>5</v>
      </c>
      <c r="I1" s="332" t="s">
        <v>5</v>
      </c>
      <c r="J1" s="334" t="s">
        <v>0</v>
      </c>
      <c r="K1" s="334" t="s">
        <v>1</v>
      </c>
      <c r="L1" s="332" t="s">
        <v>2</v>
      </c>
      <c r="M1" s="332" t="s">
        <v>3</v>
      </c>
      <c r="N1" s="332" t="s">
        <v>4</v>
      </c>
      <c r="O1" s="94" t="s">
        <v>1282</v>
      </c>
      <c r="P1" s="94" t="s">
        <v>1283</v>
      </c>
      <c r="Q1" s="62" t="s">
        <v>1286</v>
      </c>
      <c r="R1" s="62" t="s">
        <v>1287</v>
      </c>
      <c r="S1" s="332" t="s">
        <v>7</v>
      </c>
      <c r="T1" s="332" t="s">
        <v>47</v>
      </c>
      <c r="U1" s="332" t="s">
        <v>148</v>
      </c>
      <c r="V1" s="332" t="s">
        <v>25</v>
      </c>
      <c r="W1" s="52" t="s">
        <v>1288</v>
      </c>
      <c r="X1" s="52" t="s">
        <v>1289</v>
      </c>
      <c r="Y1" s="332" t="s">
        <v>6</v>
      </c>
      <c r="Z1" s="160" t="s">
        <v>374</v>
      </c>
      <c r="AA1" s="160" t="s">
        <v>375</v>
      </c>
    </row>
    <row r="2" spans="1:29" s="33" customFormat="1" ht="45">
      <c r="A2" s="102" t="s">
        <v>353</v>
      </c>
      <c r="B2" s="95" t="s">
        <v>354</v>
      </c>
      <c r="C2" s="102" t="s">
        <v>1187</v>
      </c>
      <c r="D2" s="95" t="s">
        <v>358</v>
      </c>
      <c r="E2" s="95" t="s">
        <v>355</v>
      </c>
      <c r="F2" s="102" t="s">
        <v>1186</v>
      </c>
      <c r="G2" s="102" t="s">
        <v>357</v>
      </c>
      <c r="H2" s="74" t="s">
        <v>356</v>
      </c>
      <c r="I2" s="74" t="s">
        <v>426</v>
      </c>
      <c r="O2" s="126"/>
      <c r="P2" s="126"/>
      <c r="Q2" s="74"/>
      <c r="R2" s="161"/>
      <c r="W2" s="62"/>
      <c r="X2" s="62"/>
      <c r="Z2" s="161"/>
      <c r="AA2" s="161"/>
    </row>
    <row r="3" spans="1:29" s="33" customFormat="1">
      <c r="A3" s="104" t="s">
        <v>364</v>
      </c>
      <c r="B3" s="104" t="s">
        <v>365</v>
      </c>
      <c r="C3" s="104" t="s">
        <v>364</v>
      </c>
      <c r="D3" s="104" t="s">
        <v>364</v>
      </c>
      <c r="E3" s="104" t="s">
        <v>365</v>
      </c>
      <c r="F3" s="104" t="s">
        <v>364</v>
      </c>
      <c r="G3" s="104" t="s">
        <v>364</v>
      </c>
      <c r="H3" s="223" t="s">
        <v>364</v>
      </c>
      <c r="I3" s="223" t="s">
        <v>364</v>
      </c>
      <c r="O3" s="126"/>
      <c r="P3" s="126"/>
      <c r="Q3" s="74"/>
      <c r="R3" s="161"/>
      <c r="T3" s="161"/>
      <c r="U3" s="161"/>
      <c r="V3" s="161"/>
      <c r="W3" s="62"/>
      <c r="X3" s="62"/>
      <c r="Z3" s="161"/>
      <c r="AA3" s="161"/>
    </row>
    <row r="4" spans="1:29" s="33" customFormat="1">
      <c r="A4" s="104"/>
      <c r="B4" s="104"/>
      <c r="C4" s="104"/>
      <c r="D4" s="104"/>
      <c r="E4" s="104"/>
      <c r="F4" s="104"/>
      <c r="G4" s="104"/>
      <c r="H4" s="223"/>
      <c r="I4" s="223"/>
      <c r="J4" s="33" t="s">
        <v>20</v>
      </c>
      <c r="O4" s="126"/>
      <c r="P4" s="126"/>
      <c r="Q4" s="74"/>
      <c r="R4" s="161"/>
      <c r="T4" s="161"/>
      <c r="U4" s="161"/>
      <c r="V4" s="161"/>
      <c r="W4" s="62"/>
      <c r="X4" s="62"/>
      <c r="Z4" s="161"/>
      <c r="AA4" s="161"/>
    </row>
    <row r="5" spans="1:29" s="33" customFormat="1" ht="60">
      <c r="A5" s="104"/>
      <c r="B5" s="30" t="s">
        <v>1305</v>
      </c>
      <c r="C5" s="30"/>
      <c r="D5" s="161"/>
      <c r="E5" s="445" t="s">
        <v>1375</v>
      </c>
      <c r="F5" s="30"/>
      <c r="G5" s="104"/>
      <c r="H5" s="223"/>
      <c r="I5" s="223"/>
      <c r="L5" s="19" t="s">
        <v>22</v>
      </c>
      <c r="O5" s="325" t="str">
        <f>E5</f>
        <v>0.5 الاستمارة الفردية</v>
      </c>
      <c r="P5" s="75" t="str">
        <f>B5</f>
        <v>0.5 Individual questionnaires</v>
      </c>
      <c r="Q5" s="74"/>
      <c r="R5" s="161"/>
      <c r="T5" s="161"/>
      <c r="U5" s="161"/>
      <c r="V5" s="161"/>
      <c r="W5" s="62"/>
      <c r="X5" s="62"/>
      <c r="Z5" s="161"/>
      <c r="AA5" s="161"/>
    </row>
    <row r="6" spans="1:29" s="64" customFormat="1" ht="30">
      <c r="B6" s="31" t="s">
        <v>799</v>
      </c>
      <c r="C6" s="31"/>
      <c r="D6" s="31"/>
      <c r="E6" s="31" t="s">
        <v>1223</v>
      </c>
      <c r="F6" s="31"/>
      <c r="G6" s="31"/>
      <c r="H6" s="31"/>
      <c r="L6" s="64" t="s">
        <v>22</v>
      </c>
      <c r="M6" s="18"/>
      <c r="O6" s="325" t="str">
        <f>E6</f>
        <v>للأفراد البالغين من العمر 6+</v>
      </c>
      <c r="P6" s="75" t="str">
        <f>B6</f>
        <v>Ages 6+ only</v>
      </c>
      <c r="Q6" s="48"/>
      <c r="R6" s="31"/>
      <c r="S6" s="31"/>
      <c r="T6" s="31"/>
      <c r="U6" s="31"/>
      <c r="V6" s="31"/>
      <c r="Y6" s="63" t="b">
        <v>1</v>
      </c>
      <c r="AB6" s="31"/>
      <c r="AC6" s="31"/>
    </row>
    <row r="7" spans="1:29" s="64" customFormat="1">
      <c r="B7" s="31"/>
      <c r="C7" s="31"/>
      <c r="D7" s="31"/>
      <c r="E7" s="40"/>
      <c r="F7" s="48"/>
      <c r="G7" s="31"/>
      <c r="H7" s="31"/>
      <c r="M7" s="18"/>
      <c r="O7" s="76"/>
      <c r="P7" s="110"/>
      <c r="Q7" s="48"/>
      <c r="R7" s="31"/>
      <c r="S7" s="31"/>
      <c r="T7" s="31"/>
      <c r="U7" s="31"/>
      <c r="V7" s="31"/>
      <c r="Y7" s="31"/>
      <c r="AB7" s="31"/>
      <c r="AC7" s="31"/>
    </row>
    <row r="8" spans="1:29" s="64" customFormat="1" ht="45">
      <c r="B8" s="75" t="s">
        <v>347</v>
      </c>
      <c r="C8" s="75"/>
      <c r="D8" s="31"/>
      <c r="E8" s="371" t="s">
        <v>1224</v>
      </c>
      <c r="F8" s="325"/>
      <c r="G8" s="325"/>
      <c r="H8" s="325"/>
      <c r="I8" s="325"/>
      <c r="L8" s="64" t="s">
        <v>60</v>
      </c>
      <c r="M8" s="372" t="s">
        <v>796</v>
      </c>
      <c r="O8" s="325" t="str">
        <f>E8</f>
        <v>تعديل بيانات أفراد الأسرة</v>
      </c>
      <c r="P8" s="75" t="str">
        <f>B8</f>
        <v>Edit members information</v>
      </c>
      <c r="Q8" s="48"/>
      <c r="R8" s="31"/>
      <c r="S8" s="31"/>
      <c r="T8" s="31"/>
      <c r="U8" s="31"/>
      <c r="V8" s="31"/>
      <c r="Y8" s="63" t="b">
        <v>1</v>
      </c>
      <c r="Z8" s="64" t="b">
        <v>1</v>
      </c>
      <c r="AA8" s="64" t="b">
        <v>1</v>
      </c>
      <c r="AB8" s="31"/>
      <c r="AC8" s="31"/>
    </row>
    <row r="9" spans="1:29" s="64" customFormat="1">
      <c r="B9" s="75"/>
      <c r="C9" s="75"/>
      <c r="D9" s="31"/>
      <c r="E9" s="325"/>
      <c r="F9" s="325"/>
      <c r="G9" s="325"/>
      <c r="H9" s="325"/>
      <c r="I9" s="325"/>
      <c r="J9" s="64" t="s">
        <v>21</v>
      </c>
      <c r="M9" s="372"/>
      <c r="O9" s="325"/>
      <c r="P9" s="75"/>
      <c r="Q9" s="48"/>
      <c r="R9" s="31"/>
      <c r="S9" s="31"/>
      <c r="T9" s="31"/>
      <c r="U9" s="31"/>
      <c r="V9" s="31"/>
      <c r="Y9" s="63"/>
      <c r="AB9" s="31"/>
      <c r="AC9" s="31"/>
    </row>
    <row r="10" spans="1:29" s="64" customFormat="1">
      <c r="B10" s="75"/>
      <c r="C10" s="75"/>
      <c r="D10" s="31"/>
      <c r="E10" s="325"/>
      <c r="F10" s="325"/>
      <c r="G10" s="325"/>
      <c r="H10" s="325"/>
      <c r="I10" s="325"/>
      <c r="J10" s="64" t="s">
        <v>20</v>
      </c>
      <c r="M10" s="8"/>
      <c r="O10" s="325"/>
      <c r="P10" s="75"/>
      <c r="Q10" s="48"/>
      <c r="R10" s="31"/>
      <c r="S10" s="31"/>
      <c r="T10" s="31"/>
      <c r="U10" s="31"/>
      <c r="V10" s="31"/>
      <c r="Y10" s="63"/>
      <c r="AB10" s="31"/>
      <c r="AC10" s="31"/>
    </row>
    <row r="11" spans="1:29" s="64" customFormat="1" ht="30">
      <c r="B11" s="31"/>
      <c r="C11" s="31"/>
      <c r="D11" s="31"/>
      <c r="E11" s="48"/>
      <c r="F11" s="48"/>
      <c r="G11" s="31"/>
      <c r="H11" s="31"/>
      <c r="L11" s="63" t="s">
        <v>376</v>
      </c>
      <c r="M11" s="30" t="s">
        <v>802</v>
      </c>
      <c r="N11" s="30" t="s">
        <v>803</v>
      </c>
      <c r="O11" s="30"/>
      <c r="P11" s="30"/>
      <c r="Q11" s="48"/>
      <c r="R11" s="31"/>
      <c r="S11" s="31"/>
      <c r="T11" s="31"/>
      <c r="U11" s="31"/>
      <c r="V11" s="31"/>
      <c r="Y11" s="63" t="b">
        <v>1</v>
      </c>
      <c r="AB11" s="31"/>
      <c r="AC11" s="31"/>
    </row>
    <row r="12" spans="1:29" s="64" customFormat="1" ht="42.95" customHeight="1">
      <c r="B12" s="31"/>
      <c r="C12" s="31"/>
      <c r="D12" s="31"/>
      <c r="E12" s="48"/>
      <c r="F12" s="48"/>
      <c r="G12" s="31"/>
      <c r="H12" s="31"/>
      <c r="L12" s="63" t="s">
        <v>376</v>
      </c>
      <c r="M12" s="30" t="s">
        <v>797</v>
      </c>
      <c r="N12" s="30" t="s">
        <v>800</v>
      </c>
      <c r="O12" s="30"/>
      <c r="P12" s="30"/>
      <c r="Q12" s="48"/>
      <c r="R12" s="31"/>
      <c r="S12" s="31"/>
      <c r="T12" s="31"/>
      <c r="U12" s="31"/>
      <c r="V12" s="31"/>
      <c r="Y12" s="63" t="b">
        <v>1</v>
      </c>
      <c r="AB12" s="31"/>
      <c r="AC12" s="31"/>
    </row>
    <row r="13" spans="1:29" s="64" customFormat="1" ht="42.95" customHeight="1">
      <c r="B13" s="31"/>
      <c r="C13" s="31"/>
      <c r="D13" s="31"/>
      <c r="E13" s="48"/>
      <c r="F13" s="48"/>
      <c r="G13" s="31"/>
      <c r="H13" s="31"/>
      <c r="L13" s="63" t="s">
        <v>376</v>
      </c>
      <c r="M13" s="30" t="s">
        <v>798</v>
      </c>
      <c r="N13" s="30" t="s">
        <v>801</v>
      </c>
      <c r="O13" s="30"/>
      <c r="P13" s="30"/>
      <c r="Q13" s="48"/>
      <c r="R13" s="31"/>
      <c r="S13" s="31"/>
      <c r="T13" s="31"/>
      <c r="U13" s="31"/>
      <c r="V13" s="31"/>
      <c r="Y13" s="63" t="b">
        <v>1</v>
      </c>
      <c r="AB13" s="31"/>
      <c r="AC13" s="31"/>
    </row>
    <row r="14" spans="1:29" s="64" customFormat="1">
      <c r="B14" s="31"/>
      <c r="C14" s="31"/>
      <c r="D14" s="31"/>
      <c r="E14" s="48"/>
      <c r="F14" s="48"/>
      <c r="G14" s="31"/>
      <c r="H14" s="31"/>
      <c r="L14" s="63"/>
      <c r="M14" s="30"/>
      <c r="N14" s="30"/>
      <c r="O14" s="30"/>
      <c r="P14" s="30"/>
      <c r="Q14" s="48"/>
      <c r="R14" s="31"/>
      <c r="S14" s="31"/>
      <c r="T14" s="31"/>
      <c r="U14" s="31"/>
      <c r="V14" s="31"/>
      <c r="Y14" s="31"/>
      <c r="AB14" s="31"/>
      <c r="AC14" s="31"/>
    </row>
    <row r="15" spans="1:29" s="30" customFormat="1" ht="210">
      <c r="B15" s="30" t="str">
        <f>CONCATENATE("There were {{data.",N11,"}} individuals 6+ in 2018 and you have started updating {{data.",N12,"}} individuals")</f>
        <v>There were {{data.zcheck_member_2018_update_0}} individuals 6+ in 2018 and you have started updating {{data.zcheck_member_2018_update_1}} individuals</v>
      </c>
      <c r="E15" s="70" t="str">
        <f>CONCATENATE(" لقد ذكرت أن عدد الأفراد البالغين من العمر 6 سنوات فأكبر فى عام 2018: {{data.",N11,"}} وقد بدأت فى تعديل بيانات  {{data.",N12,"}} من الأفراد")</f>
        <v xml:space="preserve"> لقد ذكرت أن عدد الأفراد البالغين من العمر 6 سنوات فأكبر فى عام 2018: {{data.zcheck_member_2018_update_0}} وقد بدأت فى تعديل بيانات  {{data.zcheck_member_2018_update_1}} من الأفراد</v>
      </c>
      <c r="F15" s="70"/>
      <c r="L15" s="30" t="s">
        <v>22</v>
      </c>
      <c r="O15" s="30" t="str">
        <f>E15</f>
        <v xml:space="preserve"> لقد ذكرت أن عدد الأفراد البالغين من العمر 6 سنوات فأكبر فى عام 2018: {{data.zcheck_member_2018_update_0}} وقد بدأت فى تعديل بيانات  {{data.zcheck_member_2018_update_1}} من الأفراد</v>
      </c>
      <c r="P15" s="30" t="str">
        <f>B15</f>
        <v>There were {{data.zcheck_member_2018_update_0}} individuals 6+ in 2018 and you have started updating {{data.zcheck_member_2018_update_1}} individuals</v>
      </c>
      <c r="Q15" s="70"/>
      <c r="T15" s="302"/>
      <c r="U15" s="302"/>
      <c r="Y15" s="63" t="b">
        <v>1</v>
      </c>
    </row>
    <row r="16" spans="1:29" s="30" customFormat="1" ht="120">
      <c r="B16" s="30" t="s">
        <v>806</v>
      </c>
      <c r="C16" s="48" t="str">
        <f>CONCATENATE("Constraints: ", X16)</f>
        <v>Constraints: Need to finalize all individuals 6+ from 2018 before continuing</v>
      </c>
      <c r="E16" s="30" t="s">
        <v>1225</v>
      </c>
      <c r="F16" s="48" t="str">
        <f>CONCATENATE("Constraints: ", W16)</f>
        <v>Constraints: يلزم الانتهاء من جميع أفراد الأسرة البالغين من العمر 6 سنوات فأكبر فى عام 2018 قبل المتابعة</v>
      </c>
      <c r="L16" s="434" t="s">
        <v>18</v>
      </c>
      <c r="M16" s="71" t="s">
        <v>1594</v>
      </c>
      <c r="N16" s="30" t="s">
        <v>477</v>
      </c>
      <c r="Q16" s="70"/>
      <c r="S16" s="302" t="s">
        <v>407</v>
      </c>
      <c r="V16" s="30" t="str">
        <f>CONCATENATE("data('valid_overall') == 0 || (data('",N11,"') === data('",N12,"'))")</f>
        <v>data('valid_overall') == 0 || (data('zcheck_member_2018_update_0') === data('zcheck_member_2018_update_1'))</v>
      </c>
      <c r="W16" s="30" t="str">
        <f>E16</f>
        <v>يلزم الانتهاء من جميع أفراد الأسرة البالغين من العمر 6 سنوات فأكبر فى عام 2018 قبل المتابعة</v>
      </c>
      <c r="X16" s="30" t="str">
        <f>B16</f>
        <v>Need to finalize all individuals 6+ from 2018 before continuing</v>
      </c>
      <c r="Y16" s="63" t="b">
        <v>1</v>
      </c>
    </row>
    <row r="17" spans="1:29" s="30" customFormat="1">
      <c r="E17" s="70"/>
      <c r="F17" s="70"/>
      <c r="J17" s="30" t="s">
        <v>21</v>
      </c>
      <c r="Q17" s="70"/>
      <c r="S17" s="302"/>
      <c r="Y17" s="31"/>
    </row>
    <row r="18" spans="1:29" s="30" customFormat="1">
      <c r="E18" s="70"/>
      <c r="F18" s="70"/>
      <c r="J18" s="30" t="s">
        <v>20</v>
      </c>
      <c r="Q18" s="70"/>
      <c r="S18" s="302"/>
      <c r="Y18" s="31"/>
    </row>
    <row r="19" spans="1:29" s="64" customFormat="1" ht="240">
      <c r="B19" s="30" t="str">
        <f>CONCATENATE("There were {{data.",N11,"}} individuals 6+ in 2018 and you have finished updating {{data.",N13,"}} individuals")</f>
        <v>There were {{data.zcheck_member_2018_update_0}} individuals 6+ in 2018 and you have finished updating {{data.zcheck_member_2018_update_2}} individuals</v>
      </c>
      <c r="C19" s="30"/>
      <c r="D19" s="30"/>
      <c r="E19" s="70" t="str">
        <f>CONCATENATE(" لقد ذكرت أن عدد الأفراد البالغين من العمر 6 سنوات فأكبر فى عام 2018: {{data.",N11,"}} وقد انتهيت من تعديل بيانات  {{data.",N13,"}}  من الأفراد")</f>
        <v xml:space="preserve"> لقد ذكرت أن عدد الأفراد البالغين من العمر 6 سنوات فأكبر فى عام 2018: {{data.zcheck_member_2018_update_0}} وقد انتهيت من تعديل بيانات  {{data.zcheck_member_2018_update_2}}  من الأفراد</v>
      </c>
      <c r="F19" s="70"/>
      <c r="G19" s="325"/>
      <c r="H19" s="325"/>
      <c r="I19" s="325"/>
      <c r="L19" s="30" t="s">
        <v>22</v>
      </c>
      <c r="M19" s="8"/>
      <c r="O19" s="30" t="str">
        <f>E19</f>
        <v xml:space="preserve"> لقد ذكرت أن عدد الأفراد البالغين من العمر 6 سنوات فأكبر فى عام 2018: {{data.zcheck_member_2018_update_0}} وقد انتهيت من تعديل بيانات  {{data.zcheck_member_2018_update_2}}  من الأفراد</v>
      </c>
      <c r="P19" s="30" t="str">
        <f>B19</f>
        <v>There were {{data.zcheck_member_2018_update_0}} individuals 6+ in 2018 and you have finished updating {{data.zcheck_member_2018_update_2}} individuals</v>
      </c>
      <c r="Q19" s="48"/>
      <c r="R19" s="31"/>
      <c r="S19" s="31"/>
      <c r="V19" s="31"/>
      <c r="Y19" s="63" t="b">
        <v>1</v>
      </c>
      <c r="AB19" s="31"/>
      <c r="AC19" s="31"/>
    </row>
    <row r="20" spans="1:29" s="64" customFormat="1" ht="120">
      <c r="B20" s="30" t="s">
        <v>806</v>
      </c>
      <c r="C20" s="48" t="str">
        <f>CONCATENATE("Constraints: ", X20)</f>
        <v>Constraints: Need to finalize all individuals 6+ from 2018 before continuing</v>
      </c>
      <c r="D20" s="30" t="s">
        <v>806</v>
      </c>
      <c r="E20" s="30" t="s">
        <v>1225</v>
      </c>
      <c r="F20" s="48" t="str">
        <f>CONCATENATE("Constraints: ", W20)</f>
        <v>Constraints: يلزم الانتهاء من جميع أفراد الأسرة البالغين من العمر 6 سنوات فأكبر فى عام 2018 قبل المتابعة</v>
      </c>
      <c r="G20" s="325"/>
      <c r="H20" s="325"/>
      <c r="I20" s="325"/>
      <c r="L20" s="434" t="s">
        <v>18</v>
      </c>
      <c r="M20" s="71" t="s">
        <v>1594</v>
      </c>
      <c r="N20" s="30" t="s">
        <v>478</v>
      </c>
      <c r="O20" s="325"/>
      <c r="P20" s="75"/>
      <c r="Q20" s="48"/>
      <c r="R20" s="31"/>
      <c r="S20" s="302" t="s">
        <v>407</v>
      </c>
      <c r="V20" s="30" t="str">
        <f>CONCATENATE("data('valid_overall') == 0 || (data('",N11,"') === data('",N13,"'))")</f>
        <v>data('valid_overall') == 0 || (data('zcheck_member_2018_update_0') === data('zcheck_member_2018_update_2'))</v>
      </c>
      <c r="W20" s="30" t="str">
        <f>E20</f>
        <v>يلزم الانتهاء من جميع أفراد الأسرة البالغين من العمر 6 سنوات فأكبر فى عام 2018 قبل المتابعة</v>
      </c>
      <c r="X20" s="30" t="str">
        <f>B20</f>
        <v>Need to finalize all individuals 6+ from 2018 before continuing</v>
      </c>
      <c r="Y20" s="63" t="b">
        <v>1</v>
      </c>
      <c r="AB20" s="31"/>
      <c r="AC20" s="31"/>
    </row>
    <row r="21" spans="1:29" s="64" customFormat="1">
      <c r="B21" s="75"/>
      <c r="C21" s="75"/>
      <c r="D21" s="31"/>
      <c r="E21" s="325"/>
      <c r="F21" s="325"/>
      <c r="G21" s="325"/>
      <c r="H21" s="325"/>
      <c r="I21" s="325"/>
      <c r="J21" s="64" t="s">
        <v>21</v>
      </c>
      <c r="M21" s="8"/>
      <c r="O21" s="325"/>
      <c r="P21" s="75"/>
      <c r="Q21" s="48"/>
      <c r="R21" s="31"/>
      <c r="S21" s="31"/>
      <c r="T21" s="31"/>
      <c r="U21" s="31"/>
      <c r="V21" s="31"/>
      <c r="Y21" s="31"/>
      <c r="AB21" s="31"/>
      <c r="AC21" s="31"/>
    </row>
    <row r="22" spans="1:29">
      <c r="Q22" s="48"/>
    </row>
    <row r="23" spans="1:29">
      <c r="Q23" s="48"/>
    </row>
    <row r="24" spans="1:29">
      <c r="Q24" s="48"/>
    </row>
    <row r="25" spans="1:29">
      <c r="Q25" s="48"/>
    </row>
    <row r="26" spans="1:29">
      <c r="Q26" s="48"/>
    </row>
    <row r="27" spans="1:29">
      <c r="Q27" s="48"/>
    </row>
    <row r="28" spans="1:29">
      <c r="Q28" s="48"/>
    </row>
    <row r="29" spans="1:29" s="30" customFormat="1">
      <c r="A29" s="18"/>
      <c r="E29" s="70"/>
      <c r="F29" s="70"/>
      <c r="I29" s="18"/>
      <c r="J29" s="18"/>
      <c r="K29" s="18"/>
      <c r="L29" s="18"/>
      <c r="M29" s="18"/>
      <c r="N29" s="18"/>
      <c r="Q29" s="48"/>
      <c r="S29" s="18"/>
      <c r="W29" s="18"/>
      <c r="X29" s="18"/>
      <c r="Y29" s="18"/>
      <c r="Z29" s="18"/>
      <c r="AA29" s="18"/>
      <c r="AB29" s="18"/>
      <c r="AC29" s="18"/>
    </row>
    <row r="30" spans="1:29" s="30" customFormat="1">
      <c r="A30" s="18"/>
      <c r="E30" s="70"/>
      <c r="F30" s="70"/>
      <c r="I30" s="18"/>
      <c r="J30" s="18"/>
      <c r="K30" s="18"/>
      <c r="L30" s="18"/>
      <c r="M30" s="18"/>
      <c r="N30" s="18"/>
      <c r="Q30" s="48"/>
      <c r="S30" s="18"/>
      <c r="W30" s="18"/>
      <c r="X30" s="18"/>
      <c r="Y30" s="18"/>
      <c r="Z30" s="18"/>
      <c r="AA30" s="18"/>
      <c r="AB30" s="18"/>
      <c r="AC30" s="18"/>
    </row>
    <row r="31" spans="1:29" s="30" customFormat="1">
      <c r="A31" s="18"/>
      <c r="E31" s="70"/>
      <c r="F31" s="70"/>
      <c r="I31" s="18"/>
      <c r="J31" s="18"/>
      <c r="K31" s="18"/>
      <c r="L31" s="18"/>
      <c r="M31" s="18"/>
      <c r="N31" s="18"/>
      <c r="Q31" s="48"/>
      <c r="S31" s="18"/>
      <c r="W31" s="18"/>
      <c r="X31" s="18"/>
      <c r="Y31" s="18"/>
      <c r="Z31" s="18"/>
      <c r="AA31" s="18"/>
      <c r="AB31" s="18"/>
      <c r="AC31" s="18"/>
    </row>
    <row r="32" spans="1:29" s="30" customFormat="1">
      <c r="A32" s="18"/>
      <c r="E32" s="70"/>
      <c r="F32" s="70"/>
      <c r="I32" s="18"/>
      <c r="J32" s="18"/>
      <c r="K32" s="18"/>
      <c r="L32" s="18"/>
      <c r="M32" s="18"/>
      <c r="N32" s="18"/>
      <c r="Q32" s="48"/>
      <c r="S32" s="18"/>
      <c r="W32" s="18"/>
      <c r="X32" s="18"/>
      <c r="Y32" s="18"/>
      <c r="Z32" s="18"/>
      <c r="AA32" s="18"/>
      <c r="AB32" s="18"/>
      <c r="AC32" s="18"/>
    </row>
    <row r="33" spans="1:29" s="30" customFormat="1">
      <c r="A33" s="18"/>
      <c r="E33" s="70"/>
      <c r="F33" s="70"/>
      <c r="I33" s="18"/>
      <c r="J33" s="18"/>
      <c r="K33" s="18"/>
      <c r="L33" s="18"/>
      <c r="M33" s="18"/>
      <c r="N33" s="18"/>
      <c r="Q33" s="48"/>
      <c r="S33" s="18"/>
      <c r="W33" s="18"/>
      <c r="X33" s="18"/>
      <c r="Y33" s="18"/>
      <c r="Z33" s="18"/>
      <c r="AA33" s="18"/>
      <c r="AB33" s="18"/>
      <c r="AC33" s="18"/>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4"/>
  <sheetViews>
    <sheetView workbookViewId="0">
      <pane ySplit="2" topLeftCell="A3" activePane="bottomLeft" state="frozen"/>
      <selection pane="bottomLeft" activeCell="O7" sqref="O7:P7"/>
    </sheetView>
  </sheetViews>
  <sheetFormatPr defaultColWidth="8.85546875" defaultRowHeight="15"/>
  <cols>
    <col min="1" max="1" width="10.42578125" style="31" customWidth="1"/>
    <col min="2" max="4" width="15.140625" style="31" customWidth="1"/>
    <col min="5" max="6" width="15.140625" style="48" customWidth="1"/>
    <col min="7" max="7" width="15.140625" style="31" customWidth="1"/>
    <col min="8" max="8" width="12.42578125" style="31" bestFit="1" customWidth="1"/>
    <col min="9" max="9" width="10.42578125" style="64" bestFit="1" customWidth="1"/>
    <col min="10" max="10" width="10.42578125" style="14" customWidth="1"/>
    <col min="11" max="11" width="12.42578125" style="64" bestFit="1" customWidth="1"/>
    <col min="12" max="12" width="9.42578125" style="64" bestFit="1" customWidth="1"/>
    <col min="13" max="14" width="19.140625" style="64" customWidth="1"/>
    <col min="15" max="15" width="19.28515625" style="64" customWidth="1"/>
    <col min="16" max="18" width="19.28515625" style="31" customWidth="1"/>
    <col min="19" max="19" width="35.42578125" style="31" customWidth="1"/>
    <col min="20" max="21" width="26.140625" style="31" customWidth="1"/>
    <col min="22" max="22" width="12" style="64" customWidth="1"/>
    <col min="23" max="24" width="10.42578125" style="64" bestFit="1" customWidth="1"/>
    <col min="25" max="25" width="9.85546875" style="64" bestFit="1" customWidth="1"/>
    <col min="26" max="26" width="14.42578125" style="64" bestFit="1" customWidth="1"/>
    <col min="27" max="27" width="11.85546875" style="64" bestFit="1" customWidth="1"/>
    <col min="28" max="28" width="11" style="64" bestFit="1" customWidth="1"/>
    <col min="29" max="29" width="8.85546875" style="64"/>
    <col min="30" max="30" width="24.140625" style="64" customWidth="1"/>
    <col min="31" max="31" width="11.140625" style="64" customWidth="1"/>
    <col min="32" max="32" width="17.42578125" style="64" customWidth="1"/>
    <col min="33" max="33" width="14.42578125" style="64" customWidth="1"/>
    <col min="34" max="16384" width="8.85546875" style="64"/>
  </cols>
  <sheetData>
    <row r="1" spans="1:27" s="332" customFormat="1" ht="30">
      <c r="A1" s="332" t="s">
        <v>5</v>
      </c>
      <c r="B1" s="94" t="s">
        <v>5</v>
      </c>
      <c r="C1" s="94" t="s">
        <v>5</v>
      </c>
      <c r="D1" s="94" t="s">
        <v>5</v>
      </c>
      <c r="E1" s="94" t="s">
        <v>5</v>
      </c>
      <c r="F1" s="94" t="s">
        <v>5</v>
      </c>
      <c r="G1" s="94" t="s">
        <v>5</v>
      </c>
      <c r="H1" s="94" t="s">
        <v>5</v>
      </c>
      <c r="I1" s="332" t="s">
        <v>5</v>
      </c>
      <c r="J1" s="334" t="s">
        <v>0</v>
      </c>
      <c r="K1" s="334" t="s">
        <v>1</v>
      </c>
      <c r="L1" s="332" t="s">
        <v>2</v>
      </c>
      <c r="M1" s="332" t="s">
        <v>3</v>
      </c>
      <c r="N1" s="332" t="s">
        <v>4</v>
      </c>
      <c r="O1" s="94" t="s">
        <v>1282</v>
      </c>
      <c r="P1" s="94" t="s">
        <v>1283</v>
      </c>
      <c r="Q1" s="62" t="s">
        <v>1286</v>
      </c>
      <c r="R1" s="62" t="s">
        <v>1287</v>
      </c>
      <c r="S1" s="332" t="s">
        <v>7</v>
      </c>
      <c r="T1" s="332" t="s">
        <v>47</v>
      </c>
      <c r="U1" s="332" t="s">
        <v>148</v>
      </c>
      <c r="V1" s="332" t="s">
        <v>25</v>
      </c>
      <c r="W1" s="52" t="s">
        <v>1288</v>
      </c>
      <c r="X1" s="52" t="s">
        <v>1289</v>
      </c>
      <c r="Y1" s="332" t="s">
        <v>6</v>
      </c>
      <c r="Z1" s="160" t="s">
        <v>374</v>
      </c>
      <c r="AA1" s="160" t="s">
        <v>375</v>
      </c>
    </row>
    <row r="2" spans="1:27" s="62" customFormat="1" ht="45">
      <c r="A2" s="102" t="s">
        <v>353</v>
      </c>
      <c r="B2" s="103" t="s">
        <v>354</v>
      </c>
      <c r="C2" s="102" t="s">
        <v>1187</v>
      </c>
      <c r="D2" s="103" t="s">
        <v>358</v>
      </c>
      <c r="E2" s="95" t="s">
        <v>355</v>
      </c>
      <c r="F2" s="102" t="s">
        <v>1186</v>
      </c>
      <c r="G2" s="79" t="s">
        <v>357</v>
      </c>
      <c r="H2" s="74" t="s">
        <v>356</v>
      </c>
      <c r="I2" s="74" t="s">
        <v>426</v>
      </c>
      <c r="J2" s="30"/>
      <c r="K2" s="30"/>
      <c r="L2" s="30"/>
      <c r="M2" s="30"/>
      <c r="N2" s="30"/>
    </row>
    <row r="3" spans="1:27" s="19" customFormat="1" ht="15" customHeight="1">
      <c r="A3" s="104" t="s">
        <v>364</v>
      </c>
      <c r="B3" s="128" t="s">
        <v>365</v>
      </c>
      <c r="C3" s="128"/>
      <c r="D3" s="104" t="s">
        <v>365</v>
      </c>
      <c r="E3" s="128" t="s">
        <v>365</v>
      </c>
      <c r="F3" s="128"/>
      <c r="G3" s="128" t="s">
        <v>365</v>
      </c>
      <c r="H3" s="223" t="s">
        <v>364</v>
      </c>
      <c r="I3" s="223" t="s">
        <v>364</v>
      </c>
      <c r="O3" s="31"/>
      <c r="P3" s="31"/>
      <c r="Q3" s="31"/>
      <c r="R3" s="31"/>
      <c r="S3" s="31"/>
      <c r="T3" s="31"/>
      <c r="U3" s="16"/>
      <c r="V3" s="16"/>
      <c r="W3" s="16"/>
    </row>
    <row r="4" spans="1:27" s="19" customFormat="1" ht="15" customHeight="1">
      <c r="A4" s="104"/>
      <c r="B4" s="128"/>
      <c r="C4" s="128"/>
      <c r="D4" s="104"/>
      <c r="E4" s="128"/>
      <c r="F4" s="128"/>
      <c r="G4" s="128"/>
      <c r="H4" s="128"/>
      <c r="I4" s="128"/>
      <c r="J4" s="19" t="s">
        <v>20</v>
      </c>
      <c r="O4" s="31"/>
      <c r="P4" s="31"/>
      <c r="Q4" s="31"/>
      <c r="R4" s="31"/>
      <c r="S4" s="31"/>
      <c r="T4" s="31"/>
      <c r="U4" s="16"/>
      <c r="V4" s="16"/>
      <c r="W4" s="16"/>
    </row>
    <row r="5" spans="1:27" s="31" customFormat="1" ht="105">
      <c r="B5" s="31" t="s">
        <v>501</v>
      </c>
      <c r="E5" s="48" t="s">
        <v>500</v>
      </c>
      <c r="F5" s="48"/>
      <c r="G5" s="48"/>
      <c r="H5" s="48"/>
      <c r="I5" s="40"/>
      <c r="J5" s="40"/>
      <c r="K5" s="40"/>
      <c r="L5" s="31" t="s">
        <v>22</v>
      </c>
      <c r="O5" s="78" t="str">
        <f>E5</f>
        <v>3: استمارة الهجرة الحالية والتحويلات والأنشطة الأسرية (الزراعية وغير الزراعية)</v>
      </c>
      <c r="P5" s="299" t="str">
        <f>B5</f>
        <v>3: Current Migration, Remittances, and Family Activities (Agricultural and Non-Farm)</v>
      </c>
      <c r="Q5" s="299"/>
      <c r="R5" s="299"/>
      <c r="U5" s="63"/>
      <c r="V5" s="63"/>
      <c r="W5" s="63"/>
    </row>
    <row r="6" spans="1:27" s="31" customFormat="1" ht="43.5" customHeight="1">
      <c r="B6" s="31" t="s">
        <v>1203</v>
      </c>
      <c r="E6" s="48" t="s">
        <v>971</v>
      </c>
      <c r="F6" s="48"/>
      <c r="I6" s="63"/>
      <c r="L6" s="31" t="s">
        <v>22</v>
      </c>
      <c r="O6" s="78" t="str">
        <f>E6</f>
        <v>للباحث: يتم استيفاء هذا القسم من الفرد الأكثر دراية بالأسرة</v>
      </c>
      <c r="P6" s="299" t="str">
        <f>B6</f>
        <v>Interviewer: This section to be completed by the most knowledgeable person in the family</v>
      </c>
      <c r="Q6" s="299"/>
      <c r="R6" s="299"/>
      <c r="U6" s="63"/>
      <c r="V6" s="63"/>
      <c r="W6" s="63"/>
      <c r="Y6" s="300" t="b">
        <v>1</v>
      </c>
    </row>
    <row r="7" spans="1:27" s="31" customFormat="1" ht="30">
      <c r="B7" s="31" t="s">
        <v>514</v>
      </c>
      <c r="E7" s="447" t="s">
        <v>1371</v>
      </c>
      <c r="F7" s="48"/>
      <c r="I7" s="63"/>
      <c r="L7" s="31" t="s">
        <v>22</v>
      </c>
      <c r="O7" s="78" t="str">
        <f>E7</f>
        <v xml:space="preserve">13.0 البيانات التعريفية لاستمارة المشروعات </v>
      </c>
      <c r="P7" s="299" t="str">
        <f>B7</f>
        <v>13.0: Statistical identification</v>
      </c>
      <c r="Q7" s="299"/>
      <c r="R7" s="299"/>
      <c r="U7" s="63"/>
      <c r="V7" s="63"/>
      <c r="W7" s="63"/>
      <c r="Y7" s="300"/>
    </row>
    <row r="8" spans="1:27" s="31" customFormat="1" ht="45">
      <c r="A8" s="78"/>
      <c r="B8" s="299" t="s">
        <v>497</v>
      </c>
      <c r="C8" s="299"/>
      <c r="D8" s="299"/>
      <c r="E8" s="78" t="s">
        <v>498</v>
      </c>
      <c r="F8" s="78"/>
      <c r="G8" s="78"/>
      <c r="H8" s="78"/>
      <c r="I8" s="53"/>
      <c r="J8" s="300"/>
      <c r="K8" s="300"/>
      <c r="L8" s="23" t="s">
        <v>22</v>
      </c>
      <c r="M8" s="300"/>
      <c r="N8" s="300"/>
      <c r="O8" s="78" t="str">
        <f>E8</f>
        <v>الرقم التعريفي للأسرة --{{data.q100}}</v>
      </c>
      <c r="P8" s="299" t="str">
        <f>B8</f>
        <v>Household No. -- {{data.q100}}</v>
      </c>
      <c r="Q8" s="299"/>
      <c r="R8" s="299"/>
      <c r="S8" s="63"/>
      <c r="T8" s="300"/>
      <c r="U8" s="300"/>
      <c r="V8" s="300"/>
      <c r="W8" s="300"/>
      <c r="X8" s="300"/>
      <c r="Y8" s="300" t="b">
        <v>1</v>
      </c>
      <c r="Z8" s="300"/>
      <c r="AA8" s="300"/>
    </row>
    <row r="9" spans="1:27" s="18" customFormat="1" ht="45">
      <c r="A9" s="31" t="str">
        <f>CONCATENATE("q",I9)</f>
        <v>q13001</v>
      </c>
      <c r="B9" s="30" t="s">
        <v>390</v>
      </c>
      <c r="C9" s="30"/>
      <c r="D9" s="30"/>
      <c r="E9" s="70" t="s">
        <v>972</v>
      </c>
      <c r="F9" s="70"/>
      <c r="G9" s="70"/>
      <c r="H9" s="70" t="s">
        <v>409</v>
      </c>
      <c r="I9" s="42">
        <v>13001</v>
      </c>
      <c r="L9" s="18" t="s">
        <v>174</v>
      </c>
      <c r="M9" s="31" t="s">
        <v>206</v>
      </c>
      <c r="N9" s="19" t="str">
        <f>CONCATENATE("q",$I9)</f>
        <v>q13001</v>
      </c>
      <c r="O9" s="325" t="str">
        <f>CONCATENATE(I9,". ", E9)</f>
        <v>13001. اسم الفرد المستجيب:</v>
      </c>
      <c r="P9" s="75" t="str">
        <f>CONCATENATE(I9, ". ",B9)</f>
        <v>13001. Name of the responding individual:</v>
      </c>
      <c r="Q9" s="75"/>
      <c r="R9" s="75"/>
      <c r="S9" s="302" t="s">
        <v>407</v>
      </c>
      <c r="T9" s="30"/>
      <c r="W9" s="30"/>
      <c r="Y9" s="300" t="b">
        <v>1</v>
      </c>
    </row>
    <row r="10" spans="1:27" s="18" customFormat="1">
      <c r="A10" s="31"/>
      <c r="B10" s="30"/>
      <c r="C10" s="30"/>
      <c r="D10" s="30"/>
      <c r="E10" s="70"/>
      <c r="F10" s="70"/>
      <c r="G10" s="70"/>
      <c r="H10" s="70"/>
      <c r="I10" s="42"/>
      <c r="J10" s="18" t="s">
        <v>21</v>
      </c>
      <c r="M10" s="31"/>
      <c r="N10" s="19"/>
      <c r="O10" s="325"/>
      <c r="P10" s="75"/>
      <c r="Q10" s="75"/>
      <c r="R10" s="75"/>
      <c r="S10" s="302"/>
      <c r="T10" s="30"/>
      <c r="W10" s="30"/>
      <c r="Y10" s="300"/>
    </row>
    <row r="11" spans="1:27" s="18" customFormat="1">
      <c r="A11" s="31"/>
      <c r="B11" s="30"/>
      <c r="C11" s="30"/>
      <c r="D11" s="30"/>
      <c r="E11" s="70"/>
      <c r="F11" s="70"/>
      <c r="G11" s="70"/>
      <c r="H11" s="70"/>
      <c r="I11" s="42"/>
      <c r="J11" s="18" t="s">
        <v>20</v>
      </c>
      <c r="M11" s="31"/>
      <c r="N11" s="19"/>
      <c r="O11" s="325"/>
      <c r="P11" s="75"/>
      <c r="Q11" s="75"/>
      <c r="R11" s="75"/>
      <c r="S11" s="302"/>
      <c r="T11" s="30"/>
      <c r="W11" s="30"/>
      <c r="Y11" s="300"/>
    </row>
    <row r="12" spans="1:27" s="16" customFormat="1">
      <c r="A12" s="343"/>
      <c r="B12" s="63"/>
      <c r="C12" s="63"/>
      <c r="D12" s="303"/>
      <c r="E12" s="78"/>
      <c r="F12" s="78"/>
      <c r="G12" s="78"/>
      <c r="H12" s="63"/>
      <c r="I12" s="304"/>
      <c r="J12" s="89"/>
      <c r="L12" s="174" t="s">
        <v>413</v>
      </c>
      <c r="M12" s="169" t="str">
        <f>CONCATENATE(M9,"_line_",N9)</f>
        <v>roster_line_q13001</v>
      </c>
      <c r="N12" s="174" t="str">
        <f>CONCATENATE(N9,"_1")</f>
        <v>q13001_1</v>
      </c>
      <c r="O12" s="78"/>
      <c r="P12" s="63"/>
      <c r="Q12" s="63"/>
      <c r="R12" s="63"/>
      <c r="S12" s="302" t="s">
        <v>407</v>
      </c>
      <c r="T12" s="63"/>
      <c r="U12" s="305"/>
      <c r="V12" s="63"/>
      <c r="Y12" s="300" t="b">
        <v>1</v>
      </c>
    </row>
    <row r="13" spans="1:27" s="16" customFormat="1">
      <c r="A13" s="343"/>
      <c r="B13" s="63"/>
      <c r="C13" s="63"/>
      <c r="D13" s="303"/>
      <c r="E13" s="409"/>
      <c r="F13" s="409"/>
      <c r="G13" s="409"/>
      <c r="H13" s="63"/>
      <c r="I13" s="304"/>
      <c r="J13" s="89"/>
      <c r="L13" s="174"/>
      <c r="M13" s="169"/>
      <c r="N13" s="174"/>
      <c r="O13" s="409"/>
      <c r="P13" s="63"/>
      <c r="Q13" s="63"/>
      <c r="R13" s="63"/>
      <c r="T13" s="63"/>
      <c r="U13" s="305"/>
      <c r="V13" s="63"/>
      <c r="Y13" s="300"/>
    </row>
    <row r="14" spans="1:27" ht="15" customHeight="1">
      <c r="L14" s="19"/>
      <c r="O14" s="31"/>
      <c r="U14" s="64"/>
    </row>
    <row r="15" spans="1:27" s="18" customFormat="1" ht="90">
      <c r="A15" s="31"/>
      <c r="B15" s="30" t="str">
        <f>CONCATENATE(" Line number of the responding individual: {{data.", N12,"}}")</f>
        <v xml:space="preserve"> Line number of the responding individual: {{data.q13001_1}}</v>
      </c>
      <c r="C15" s="30"/>
      <c r="D15" s="30"/>
      <c r="E15" s="70" t="str">
        <f>CONCATENATE(" رقم الفرد المستجيب:", "{{data.", N12,"}}")</f>
        <v xml:space="preserve"> رقم الفرد المستجيب:{{data.q13001_1}}</v>
      </c>
      <c r="F15" s="70"/>
      <c r="G15" s="70"/>
      <c r="H15" s="70"/>
      <c r="I15" s="42"/>
      <c r="L15" s="18" t="s">
        <v>22</v>
      </c>
      <c r="M15" s="31"/>
      <c r="N15" s="19"/>
      <c r="O15" s="325" t="str">
        <f>E15</f>
        <v xml:space="preserve"> رقم الفرد المستجيب:{{data.q13001_1}}</v>
      </c>
      <c r="P15" s="75" t="str">
        <f>B15</f>
        <v xml:space="preserve"> Line number of the responding individual: {{data.q13001_1}}</v>
      </c>
      <c r="Q15" s="75"/>
      <c r="R15" s="75"/>
      <c r="S15" s="302"/>
      <c r="T15" s="30"/>
      <c r="W15" s="30"/>
      <c r="Y15" s="300" t="b">
        <v>1</v>
      </c>
    </row>
    <row r="16" spans="1:27">
      <c r="A16" s="30"/>
      <c r="J16" s="64" t="s">
        <v>21</v>
      </c>
      <c r="M16" s="19"/>
    </row>
    <row r="17" spans="10:13">
      <c r="J17" s="40"/>
      <c r="M17" s="19"/>
    </row>
    <row r="18" spans="10:13">
      <c r="J18" s="40"/>
      <c r="M18" s="19"/>
    </row>
    <row r="19" spans="10:13" ht="15.75" customHeight="1">
      <c r="J19" s="40"/>
    </row>
    <row r="20" spans="10:13">
      <c r="J20" s="40"/>
      <c r="M20" s="19"/>
    </row>
    <row r="21" spans="10:13">
      <c r="J21" s="40"/>
      <c r="M21" s="19"/>
    </row>
    <row r="22" spans="10:13">
      <c r="J22" s="40"/>
      <c r="M22" s="19"/>
    </row>
    <row r="23" spans="10:13">
      <c r="J23" s="40"/>
      <c r="M23" s="19"/>
    </row>
    <row r="24" spans="10:13">
      <c r="J24" s="40"/>
      <c r="M24" s="19"/>
    </row>
    <row r="25" spans="10:13">
      <c r="J25" s="40"/>
      <c r="M25" s="19"/>
    </row>
    <row r="26" spans="10:13">
      <c r="J26" s="40"/>
      <c r="M26" s="19"/>
    </row>
    <row r="27" spans="10:13">
      <c r="J27" s="40"/>
      <c r="M27" s="19"/>
    </row>
    <row r="28" spans="10:13">
      <c r="J28" s="40"/>
      <c r="M28" s="19"/>
    </row>
    <row r="29" spans="10:13">
      <c r="J29" s="40"/>
    </row>
    <row r="30" spans="10:13">
      <c r="J30" s="40"/>
      <c r="M30" s="19"/>
    </row>
    <row r="31" spans="10:13">
      <c r="J31" s="40"/>
    </row>
    <row r="32" spans="10:13">
      <c r="J32" s="40"/>
    </row>
    <row r="33" spans="10:10">
      <c r="J33" s="40"/>
    </row>
    <row r="34" spans="10:10">
      <c r="J34" s="40"/>
    </row>
    <row r="35" spans="10:10">
      <c r="J35" s="40"/>
    </row>
    <row r="36" spans="10:10">
      <c r="J36" s="40"/>
    </row>
    <row r="37" spans="10:10">
      <c r="J37" s="40"/>
    </row>
    <row r="38" spans="10:10">
      <c r="J38" s="40"/>
    </row>
    <row r="39" spans="10:10">
      <c r="J39" s="40"/>
    </row>
    <row r="40" spans="10:10">
      <c r="J40" s="40"/>
    </row>
    <row r="41" spans="10:10">
      <c r="J41" s="40"/>
    </row>
    <row r="42" spans="10:10">
      <c r="J42" s="40"/>
    </row>
    <row r="43" spans="10:10">
      <c r="J43" s="40"/>
    </row>
    <row r="44" spans="10:10">
      <c r="J44" s="40"/>
    </row>
    <row r="45" spans="10:10">
      <c r="J45" s="40"/>
    </row>
    <row r="46" spans="10:10">
      <c r="J46" s="40"/>
    </row>
    <row r="47" spans="10:10">
      <c r="J47" s="40"/>
    </row>
    <row r="48" spans="10:10">
      <c r="J48" s="40"/>
    </row>
    <row r="49" spans="10:10">
      <c r="J49" s="19"/>
    </row>
    <row r="50" spans="10:10">
      <c r="J50" s="40"/>
    </row>
    <row r="51" spans="10:10">
      <c r="J51" s="40"/>
    </row>
    <row r="52" spans="10:10">
      <c r="J52" s="40"/>
    </row>
    <row r="53" spans="10:10">
      <c r="J53" s="40"/>
    </row>
    <row r="54" spans="10:10">
      <c r="J54" s="40"/>
    </row>
    <row r="55" spans="10:10">
      <c r="J55" s="19"/>
    </row>
    <row r="56" spans="10:10">
      <c r="J56" s="40"/>
    </row>
    <row r="57" spans="10:10">
      <c r="J57" s="40"/>
    </row>
    <row r="58" spans="10:10">
      <c r="J58" s="40"/>
    </row>
    <row r="59" spans="10:10">
      <c r="J59" s="40"/>
    </row>
    <row r="60" spans="10:10">
      <c r="J60" s="40"/>
    </row>
    <row r="61" spans="10:10">
      <c r="J61" s="40"/>
    </row>
    <row r="62" spans="10:10">
      <c r="J62" s="40"/>
    </row>
    <row r="63" spans="10:10">
      <c r="J63" s="40"/>
    </row>
    <row r="64" spans="10:10" ht="13.5" customHeight="1">
      <c r="J64" s="40"/>
    </row>
    <row r="65" spans="10:10" ht="13.5" customHeight="1">
      <c r="J65" s="40"/>
    </row>
    <row r="66" spans="10:10">
      <c r="J66" s="40"/>
    </row>
    <row r="67" spans="10:10">
      <c r="J67" s="40"/>
    </row>
    <row r="68" spans="10:10">
      <c r="J68" s="40"/>
    </row>
    <row r="69" spans="10:10">
      <c r="J69" s="40"/>
    </row>
    <row r="70" spans="10:10">
      <c r="J70" s="40"/>
    </row>
    <row r="71" spans="10:10">
      <c r="J71" s="40"/>
    </row>
    <row r="72" spans="10:10">
      <c r="J72" s="40"/>
    </row>
    <row r="73" spans="10:10">
      <c r="J73" s="40"/>
    </row>
    <row r="74" spans="10:10">
      <c r="J74" s="40"/>
    </row>
    <row r="75" spans="10:10">
      <c r="J75" s="40"/>
    </row>
    <row r="76" spans="10:10">
      <c r="J76" s="40"/>
    </row>
    <row r="77" spans="10:10">
      <c r="J77" s="40"/>
    </row>
    <row r="78" spans="10:10">
      <c r="J78" s="40"/>
    </row>
    <row r="79" spans="10:10">
      <c r="J79" s="40"/>
    </row>
    <row r="80" spans="10:10">
      <c r="J80" s="40"/>
    </row>
    <row r="81" spans="10:10">
      <c r="J81" s="40"/>
    </row>
    <row r="82" spans="10:10">
      <c r="J82" s="40"/>
    </row>
    <row r="83" spans="10:10">
      <c r="J83" s="40"/>
    </row>
    <row r="84" spans="10:10">
      <c r="J84" s="40"/>
    </row>
    <row r="85" spans="10:10">
      <c r="J85" s="40"/>
    </row>
    <row r="86" spans="10:10">
      <c r="J86" s="40"/>
    </row>
    <row r="87" spans="10:10">
      <c r="J87" s="40"/>
    </row>
    <row r="88" spans="10:10">
      <c r="J88" s="40"/>
    </row>
    <row r="89" spans="10:10">
      <c r="J89" s="40"/>
    </row>
    <row r="90" spans="10:10">
      <c r="J90" s="40"/>
    </row>
    <row r="91" spans="10:10">
      <c r="J91" s="40"/>
    </row>
    <row r="92" spans="10:10">
      <c r="J92" s="40"/>
    </row>
    <row r="93" spans="10:10">
      <c r="J93" s="40"/>
    </row>
    <row r="94" spans="10:10" ht="12" customHeight="1">
      <c r="J94" s="40"/>
    </row>
    <row r="95" spans="10:10" ht="12" customHeight="1">
      <c r="J95" s="40"/>
    </row>
    <row r="96" spans="10:10">
      <c r="J96" s="40"/>
    </row>
    <row r="97" spans="10:10">
      <c r="J97" s="40"/>
    </row>
    <row r="98" spans="10:10">
      <c r="J98" s="40"/>
    </row>
    <row r="99" spans="10:10">
      <c r="J99" s="40"/>
    </row>
    <row r="100" spans="10:10">
      <c r="J100" s="40"/>
    </row>
    <row r="101" spans="10:10">
      <c r="J101" s="40"/>
    </row>
    <row r="102" spans="10:10">
      <c r="J102" s="40"/>
    </row>
    <row r="103" spans="10:10">
      <c r="J103" s="40"/>
    </row>
    <row r="104" spans="10:10">
      <c r="J104" s="40"/>
    </row>
    <row r="105" spans="10:10">
      <c r="J105" s="40"/>
    </row>
    <row r="106" spans="10:10">
      <c r="J106" s="40"/>
    </row>
    <row r="107" spans="10:10">
      <c r="J107" s="40"/>
    </row>
    <row r="108" spans="10:10">
      <c r="J108" s="40"/>
    </row>
    <row r="109" spans="10:10">
      <c r="J109" s="40"/>
    </row>
    <row r="110" spans="10:10">
      <c r="J110" s="40"/>
    </row>
    <row r="111" spans="10:10">
      <c r="J111" s="40"/>
    </row>
    <row r="112" spans="10:10">
      <c r="J112" s="40"/>
    </row>
    <row r="113" spans="10:10">
      <c r="J113" s="40"/>
    </row>
    <row r="114" spans="10:10">
      <c r="J114" s="40"/>
    </row>
    <row r="115" spans="10:10">
      <c r="J115" s="40"/>
    </row>
    <row r="116" spans="10:10">
      <c r="J116" s="40"/>
    </row>
    <row r="117" spans="10:10">
      <c r="J117" s="40"/>
    </row>
    <row r="118" spans="10:10">
      <c r="J118" s="40"/>
    </row>
    <row r="119" spans="10:10">
      <c r="J119" s="40"/>
    </row>
    <row r="120" spans="10:10" ht="17.25" customHeight="1">
      <c r="J120" s="40"/>
    </row>
    <row r="121" spans="10:10">
      <c r="J121" s="40"/>
    </row>
    <row r="122" spans="10:10">
      <c r="J122" s="40"/>
    </row>
    <row r="123" spans="10:10" ht="17.25" customHeight="1">
      <c r="J123" s="40"/>
    </row>
    <row r="124" spans="10:10" ht="17.25" customHeight="1">
      <c r="J124" s="40"/>
    </row>
    <row r="125" spans="10:10" ht="17.25" customHeight="1">
      <c r="J125" s="40"/>
    </row>
    <row r="126" spans="10:10">
      <c r="J126" s="40"/>
    </row>
    <row r="127" spans="10:10">
      <c r="J127" s="40"/>
    </row>
    <row r="128" spans="10:10">
      <c r="J128" s="40"/>
    </row>
    <row r="129" spans="10:10">
      <c r="J129" s="40"/>
    </row>
    <row r="130" spans="10:10">
      <c r="J130" s="40"/>
    </row>
    <row r="131" spans="10:10">
      <c r="J131" s="40"/>
    </row>
    <row r="132" spans="10:10">
      <c r="J132" s="40"/>
    </row>
    <row r="133" spans="10:10">
      <c r="J133" s="40"/>
    </row>
    <row r="134" spans="10:10">
      <c r="J134" s="40"/>
    </row>
    <row r="135" spans="10:10">
      <c r="J135" s="40"/>
    </row>
    <row r="136" spans="10:10">
      <c r="J136" s="40"/>
    </row>
    <row r="137" spans="10:10">
      <c r="J137" s="40"/>
    </row>
    <row r="138" spans="10:10">
      <c r="J138" s="40"/>
    </row>
    <row r="139" spans="10:10">
      <c r="J139" s="40"/>
    </row>
    <row r="140" spans="10:10">
      <c r="J140" s="40"/>
    </row>
    <row r="141" spans="10:10">
      <c r="J141" s="40"/>
    </row>
    <row r="142" spans="10:10">
      <c r="J142" s="40"/>
    </row>
    <row r="143" spans="10:10">
      <c r="J143" s="40"/>
    </row>
    <row r="144" spans="10:10">
      <c r="J144" s="40"/>
    </row>
    <row r="145" spans="10:10">
      <c r="J145" s="40"/>
    </row>
    <row r="146" spans="10:10">
      <c r="J146" s="40"/>
    </row>
    <row r="147" spans="10:10">
      <c r="J147" s="40"/>
    </row>
    <row r="148" spans="10:10">
      <c r="J148" s="40"/>
    </row>
    <row r="149" spans="10:10">
      <c r="J149" s="40"/>
    </row>
    <row r="150" spans="10:10">
      <c r="J150" s="40"/>
    </row>
    <row r="151" spans="10:10">
      <c r="J151" s="40"/>
    </row>
    <row r="152" spans="10:10">
      <c r="J152" s="40"/>
    </row>
    <row r="153" spans="10:10">
      <c r="J153" s="40"/>
    </row>
    <row r="154" spans="10:10">
      <c r="J154" s="40"/>
    </row>
    <row r="155" spans="10:10">
      <c r="J155" s="40"/>
    </row>
    <row r="156" spans="10:10">
      <c r="J156" s="40"/>
    </row>
    <row r="157" spans="10:10">
      <c r="J157" s="40"/>
    </row>
    <row r="158" spans="10:10">
      <c r="J158" s="40"/>
    </row>
    <row r="159" spans="10:10">
      <c r="J159" s="40"/>
    </row>
    <row r="160" spans="10:10">
      <c r="J160" s="40"/>
    </row>
    <row r="161" spans="10:10">
      <c r="J161" s="254"/>
    </row>
    <row r="162" spans="10:10">
      <c r="J162" s="254"/>
    </row>
    <row r="163" spans="10:10">
      <c r="J163" s="254"/>
    </row>
    <row r="164" spans="10:10">
      <c r="J164" s="254"/>
    </row>
    <row r="165" spans="10:10">
      <c r="J165" s="254"/>
    </row>
    <row r="166" spans="10:10">
      <c r="J166" s="40"/>
    </row>
    <row r="167" spans="10:10">
      <c r="J167" s="40"/>
    </row>
    <row r="168" spans="10:10">
      <c r="J168" s="40"/>
    </row>
    <row r="169" spans="10:10">
      <c r="J169" s="40"/>
    </row>
    <row r="170" spans="10:10">
      <c r="J170" s="40"/>
    </row>
    <row r="171" spans="10:10">
      <c r="J171" s="40"/>
    </row>
    <row r="172" spans="10:10">
      <c r="J172" s="40"/>
    </row>
    <row r="173" spans="10:10">
      <c r="J173" s="40"/>
    </row>
    <row r="174" spans="10:10">
      <c r="J174" s="40"/>
    </row>
    <row r="175" spans="10:10">
      <c r="J175" s="40"/>
    </row>
    <row r="176" spans="10:10">
      <c r="J176" s="40"/>
    </row>
    <row r="195" ht="15" customHeight="1"/>
    <row r="196" ht="15" customHeight="1"/>
    <row r="203" ht="12" customHeight="1"/>
    <row r="204" ht="13.5" customHeight="1"/>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pane ySplit="1" topLeftCell="A22" activePane="bottomLeft" state="frozen"/>
      <selection pane="bottomLeft" activeCell="L24" sqref="L24:M24"/>
    </sheetView>
  </sheetViews>
  <sheetFormatPr defaultColWidth="11.42578125" defaultRowHeight="15"/>
  <sheetData>
    <row r="1" spans="1:27" s="332" customFormat="1" ht="45">
      <c r="A1" s="332" t="s">
        <v>5</v>
      </c>
      <c r="B1" s="94" t="s">
        <v>5</v>
      </c>
      <c r="C1" s="94" t="s">
        <v>5</v>
      </c>
      <c r="D1" s="94" t="s">
        <v>5</v>
      </c>
      <c r="E1" s="94" t="s">
        <v>5</v>
      </c>
      <c r="F1" s="94" t="s">
        <v>5</v>
      </c>
      <c r="G1" s="94" t="s">
        <v>5</v>
      </c>
      <c r="H1" s="94" t="s">
        <v>5</v>
      </c>
      <c r="I1" s="332" t="s">
        <v>5</v>
      </c>
      <c r="J1" s="334" t="s">
        <v>0</v>
      </c>
      <c r="K1" s="334" t="s">
        <v>1</v>
      </c>
      <c r="L1" s="332" t="s">
        <v>2</v>
      </c>
      <c r="M1" s="332" t="s">
        <v>3</v>
      </c>
      <c r="N1" s="94" t="s">
        <v>4</v>
      </c>
      <c r="O1" s="94" t="s">
        <v>1282</v>
      </c>
      <c r="P1" s="94" t="s">
        <v>1283</v>
      </c>
      <c r="Q1" s="62" t="s">
        <v>1286</v>
      </c>
      <c r="R1" s="62" t="s">
        <v>1287</v>
      </c>
      <c r="S1" s="332" t="s">
        <v>7</v>
      </c>
      <c r="T1" s="332" t="s">
        <v>47</v>
      </c>
      <c r="U1" s="332" t="s">
        <v>148</v>
      </c>
      <c r="V1" s="332" t="s">
        <v>25</v>
      </c>
      <c r="W1" s="52" t="s">
        <v>1288</v>
      </c>
      <c r="X1" s="52" t="s">
        <v>1289</v>
      </c>
      <c r="Y1" s="332" t="s">
        <v>6</v>
      </c>
      <c r="Z1" s="160" t="s">
        <v>374</v>
      </c>
      <c r="AA1" s="160" t="s">
        <v>375</v>
      </c>
    </row>
    <row r="2" spans="1:27" s="31" customFormat="1" ht="45">
      <c r="A2" s="102" t="s">
        <v>353</v>
      </c>
      <c r="B2" s="103" t="s">
        <v>354</v>
      </c>
      <c r="C2" s="102" t="s">
        <v>1187</v>
      </c>
      <c r="D2" s="103" t="s">
        <v>358</v>
      </c>
      <c r="E2" s="95" t="s">
        <v>355</v>
      </c>
      <c r="F2" s="102" t="s">
        <v>1186</v>
      </c>
      <c r="G2" s="79" t="s">
        <v>357</v>
      </c>
      <c r="H2" s="74" t="s">
        <v>356</v>
      </c>
      <c r="I2" s="74" t="s">
        <v>426</v>
      </c>
      <c r="J2" s="63"/>
      <c r="K2" s="63"/>
      <c r="L2" s="63"/>
      <c r="N2" s="63"/>
      <c r="O2" s="48"/>
      <c r="Q2" s="40"/>
    </row>
    <row r="3" spans="1:27" s="19" customFormat="1">
      <c r="A3" s="104" t="s">
        <v>364</v>
      </c>
      <c r="B3" s="104" t="s">
        <v>365</v>
      </c>
      <c r="C3" s="104" t="s">
        <v>364</v>
      </c>
      <c r="D3" s="104" t="s">
        <v>364</v>
      </c>
      <c r="E3" s="104" t="s">
        <v>365</v>
      </c>
      <c r="F3" s="104" t="s">
        <v>364</v>
      </c>
      <c r="G3" s="104" t="s">
        <v>364</v>
      </c>
      <c r="H3" s="105" t="s">
        <v>364</v>
      </c>
      <c r="I3" s="105" t="s">
        <v>364</v>
      </c>
      <c r="N3" s="31"/>
      <c r="O3" s="48"/>
      <c r="P3" s="31"/>
      <c r="Q3" s="40"/>
      <c r="R3" s="16"/>
      <c r="S3" s="31"/>
      <c r="T3" s="16"/>
      <c r="U3" s="63"/>
      <c r="V3" s="63"/>
      <c r="W3" s="63"/>
    </row>
    <row r="4" spans="1:27" s="19" customFormat="1">
      <c r="A4" s="104"/>
      <c r="B4" s="128"/>
      <c r="C4" s="128"/>
      <c r="D4" s="104"/>
      <c r="E4" s="128"/>
      <c r="F4" s="128"/>
      <c r="G4" s="128"/>
      <c r="H4" s="223"/>
      <c r="I4" s="16"/>
      <c r="J4" s="19" t="s">
        <v>20</v>
      </c>
      <c r="N4" s="31"/>
      <c r="O4" s="48"/>
      <c r="P4" s="31"/>
      <c r="Q4" s="40"/>
      <c r="R4" s="16"/>
      <c r="S4" s="31"/>
      <c r="T4" s="16"/>
      <c r="U4" s="63"/>
      <c r="V4" s="63"/>
      <c r="W4" s="63"/>
    </row>
    <row r="5" spans="1:27" s="31" customFormat="1" ht="90">
      <c r="B5" s="31" t="s">
        <v>502</v>
      </c>
      <c r="E5" s="406" t="s">
        <v>957</v>
      </c>
      <c r="F5" s="48"/>
      <c r="I5" s="63"/>
      <c r="L5" s="31" t="s">
        <v>22</v>
      </c>
      <c r="O5" s="78" t="str">
        <f>E5</f>
        <v>14.1 خصائص المسافرين الحاليين بالأسرة</v>
      </c>
      <c r="P5" s="299" t="str">
        <f>B5</f>
        <v>14. 1: Characteristics of family members abroad</v>
      </c>
      <c r="Q5" s="40"/>
      <c r="R5" s="63"/>
      <c r="T5" s="63"/>
      <c r="U5" s="63"/>
      <c r="V5" s="63"/>
      <c r="W5" s="63"/>
    </row>
    <row r="6" spans="1:27" s="19" customFormat="1" ht="195">
      <c r="A6" s="31" t="str">
        <f>N6</f>
        <v>q14101</v>
      </c>
      <c r="B6" s="31" t="s">
        <v>430</v>
      </c>
      <c r="C6" s="48" t="str">
        <f>CONCATENATE("Hints: ", R6)</f>
        <v>Hints: A migrant is any one who was in the household for at least 6 months before he or she travelled -- minimum age 15</v>
      </c>
      <c r="D6" s="31" t="str">
        <f>CONCATENATE(INDEX(choices!D:D,MATCH(M6,choices!A:A,0)),"
",IF(M6=INDEX(choices!A:A,MATCH(M6,choices!A:A,0)+1),INDEX(choices!D:D,MATCH(M6,choices!A:A,0)+1),""),IF(M6=INDEX(choices!A:A,MATCH(M6,choices!A:A,0)+1), "
",""),IF(M6=INDEX(choices!A:A,MATCH(M6,choices!A:A,0)+2),INDEX(choices!D:D,MATCH(M6,choices!A:A,0)+2),""),IF(M6=INDEX(choices!A:A,MATCH(M6,choices!A:A,0)+2), "
",""),IF(M6=INDEX(choices!A:A,MATCH(M6,choices!A:A,0)+3),INDEX(choices!D:D,MATCH(M6,choices!A:A,0)+3),""),IF(M6=INDEX(choices!A:A,MATCH(M6,choices!A:A,0)+3), "
",""),IF(M6=INDEX(choices!A:A,MATCH(M6,choices!A:A,0)+4),INDEX(choices!D:D,MATCH(M6,choices!A:A,0)+4),""),IF(M6=INDEX(choices!A:A,MATCH(M6,choices!A:A,0)+4), "
",""),IF(M6=INDEX(choices!A:A,MATCH(M6,choices!A:A,0)+5),INDEX(choices!D:D,MATCH(M6,choices!A:A,0)+5),""),IF(M6=INDEX(choices!A:A,MATCH(M6,choices!A:A,0)+5), "
",""),IF(M6=INDEX(choices!A:A,MATCH(M6,choices!A:A,0)+6),INDEX(choices!D:D,MATCH(M6,choices!A:A,0)+6),""),IF(M6=INDEX(choices!A:A,MATCH(M6,choices!A:A,0)+6), "
",""),IF(M6=INDEX(choices!A:A,MATCH(M6,choices!A:A,0)+7),INDEX(choices!D:D,MATCH(M6,choices!A:A,0)+7),""),IF(M6=INDEX(choices!A:A,MATCH(M6,choices!A:A,0)+7), "
",""),IF(M6=INDEX(choices!A:A,MATCH(M6,choices!A:A,0)+8),INDEX(choices!D:D,MATCH(M6,choices!A:A,0)+8),""),IF(M6=INDEX(choices!A:A,MATCH(M6,choices!A:A,0)+8), "
",""),IF(M6=INDEX(choices!A:A,MATCH(M6,choices!A:A,0)+9),INDEX(choices!D:D,MATCH(M6,choices!A:A,0)+9),""),IF(M6=INDEX(choices!A:A,MATCH(M6,choices!A:A,0)+9), "
",""),IF(M6=INDEX(choices!A:A,MATCH(M6,choices!A:A,0)+10),INDEX(choices!D:D,MATCH(M6,choices!A:A,0)+10),""),IF(M6=INDEX(choices!A:A,MATCH(M6,choices!A:A,0)+10), "
",""),IF(M6=INDEX(choices!A:A,MATCH(M6,choices!A:A,0)+11),INDEX(choices!D:D,MATCH(M6,choices!A:A,0)+11),""),IF(M6=INDEX(choices!A:A,MATCH(M6,choices!A:A,0)+11), "
",""),IF(M6=INDEX(choices!A:A,MATCH(M6,choices!A:A,0)+12),INDEX(choices!D:D,MATCH(M6,choices!A:A,0)+12),""),IF(M6=INDEX(choices!A:A,MATCH(M6,choices!A:A,0)+12), "
",""),IF(M6=INDEX(choices!A:A,MATCH(M6,choices!A:A,0)+13),INDEX(choices!D:D,MATCH(M6,choices!A:A,0)+13),""),IF(M6=INDEX(choices!A:A,MATCH(M6,choices!A:A,0)+13), "
",""),IF(M6=INDEX(choices!A:A,MATCH(M6,choices!A:A,0)+14),INDEX(choices!D:D,MATCH(M6,choices!A:A,0)+14),""),IF(M6=INDEX(choices!A:A,MATCH(M6,choices!A:A,0)+14), "
",""),IF(M6=INDEX(choices!A:A,MATCH(M6,choices!A:A,0)+15),INDEX(choices!D:D,MATCH(M6,choices!A:A,0)+15),""),IF(M6=INDEX(choices!A:A,MATCH(M6,choices!A:A,0)+15), "
",""),IF(M6=INDEX(choices!A:A,MATCH(M6,choices!A:A,0)+16),INDEX(choices!D:D,MATCH(M6,choices!A:A,0)+16),""),IF(M6=INDEX(choices!A:A,MATCH(M6,choices!A:A,0)+16), "
",""),IF(M6=INDEX(choices!A:A,MATCH(M6,choices!A:A,0)+17),INDEX(choices!D:D,MATCH(M6,choices!A:A,0)+17),""),IF(M6=INDEX(choices!A:A,MATCH(M6,choices!A:A,0)+17), "
",""),IF(M6=INDEX(choices!A:A,MATCH(M6,choices!A:A,0)+18),INDEX(choices!D:D,MATCH(M6,choices!A:A,0)+18),""),IF(M6=INDEX(choices!A:A,MATCH(M6,choices!A:A,0)+18), "
",""),IF(M6=INDEX(choices!A:A,MATCH(M6,choices!A:A,0)+19),INDEX(choices!D:D,MATCH(M6,choices!A:A,0)+19),""),IF(M6=INDEX(choices!A:A,MATCH(M6,choices!A:A,0)+19), "
",""),IF(M6=INDEX(choices!A:A,MATCH(M6,choices!A:A,0)+20),INDEX(choices!D:D,MATCH(M6,choices!A:A,0)+20),""),IF(M6=INDEX(choices!A:A,MATCH(M6,choices!A:A,0)+20), "
",""))</f>
        <v xml:space="preserve">1. Yes
2. No
</v>
      </c>
      <c r="E6" s="48" t="s">
        <v>503</v>
      </c>
      <c r="F6" s="48" t="str">
        <f>CONCATENATE("Hints: ",Q6, )</f>
        <v>Hints:  المهاجر هو كل شخص أقام مع الأسرة 6 أشهر على الأقلّ قبل السفر- الحد الأدنى للعمر 15 سنة</v>
      </c>
      <c r="G6" s="67" t="str">
        <f>CONCATENATE(INDEX(choices!C:C,MATCH(M6,choices!A:A,0)),"
",IF(M6=INDEX(choices!A:A,MATCH(M6,choices!A:A,0)+1),INDEX(choices!C:C,MATCH(M6,choices!A:A,0)+1),""),IF(M6=INDEX(choices!A:A,MATCH(M6,choices!A:A,0)+1), "
",""),IF(M6=INDEX(choices!A:A,MATCH(M6,choices!A:A,0)+2),INDEX(choices!C:C,MATCH(M6,choices!A:A,0)+2),""),IF(M6=INDEX(choices!A:A,MATCH(M6,choices!A:A,0)+2), "
",""),IF(M6=INDEX(choices!A:A,MATCH(M6,choices!A:A,0)+3),INDEX(choices!C:C,MATCH(M6,choices!A:A,0)+3),""),IF(M6=INDEX(choices!A:A,MATCH(M6,choices!A:A,0)+3), "
",""),IF(M6=INDEX(choices!A:A,MATCH(M6,choices!A:A,0)+4),INDEX(choices!C:C,MATCH(M6,choices!A:A,0)+4),""),IF(M6=INDEX(choices!A:A,MATCH(M6,choices!A:A,0)+4), "
",""),IF(M6=INDEX(choices!A:A,MATCH(M6,choices!A:A,0)+5),INDEX(choices!C:C,MATCH(M6,choices!A:A,0)+5),""),IF(M6=INDEX(choices!A:A,MATCH(M6,choices!A:A,0)+5), "
",""),IF(M6=INDEX(choices!A:A,MATCH(M6,choices!A:A,0)+6),INDEX(choices!C:C,MATCH(M6,choices!A:A,0)+6),""),IF(M6=INDEX(choices!A:A,MATCH(M6,choices!A:A,0)+6), "
",""),IF(M6=INDEX(choices!A:A,MATCH(M6,choices!A:A,0)+7),INDEX(choices!C:C,MATCH(M6,choices!A:A,0)+7),""),IF(M6=INDEX(choices!A:A,MATCH(M6,choices!A:A,0)+7), "
",""),IF(M6=INDEX(choices!A:A,MATCH(M6,choices!A:A,0)+8),INDEX(choices!C:C,MATCH(M6,choices!A:A,0)+8),""),IF(M6=INDEX(choices!A:A,MATCH(M6,choices!A:A,0)+8), "
",""),IF(M6=INDEX(choices!A:A,MATCH(M6,choices!A:A,0)+9),INDEX(choices!C:C,MATCH(M6,choices!A:A,0)+9),""),IF(M6=INDEX(choices!A:A,MATCH(M6,choices!A:A,0)+9), "
",""),IF(M6=INDEX(choices!A:A,MATCH(M6,choices!A:A,0)+10),INDEX(choices!C:C,MATCH(M6,choices!A:A,0)+10),""),IF(M6=INDEX(choices!A:A,MATCH(M6,choices!A:A,0)+10), "
",""),IF(M6=INDEX(choices!A:A,MATCH(M6,choices!A:A,0)+11),INDEX(choices!C:C,MATCH(M6,choices!A:A,0)+11),""),IF(M6=INDEX(choices!A:A,MATCH(M6,choices!A:A,0)+11), "
",""),IF(M6=INDEX(choices!A:A,MATCH(M6,choices!A:A,0)+12),INDEX(choices!C:C,MATCH(M6,choices!A:A,0)+12),""),IF(M6=INDEX(choices!A:A,MATCH(M6,choices!A:A,0)+12), "
",""),IF(M6=INDEX(choices!A:A,MATCH(M6,choices!A:A,0)+13),INDEX(choices!C:C,MATCH(M6,choices!A:A,0)+13),""),IF(M6=INDEX(choices!A:A,MATCH(M6,choices!A:A,0)+13), "
",""),IF(M6=INDEX(choices!A:A,MATCH(M6,choices!A:A,0)+14),INDEX(choices!C:C,MATCH(M6,choices!A:A,0)+14),""),IF(M6=INDEX(choices!A:A,MATCH(M6,choices!A:A,0)+14), "
",""),IF(M6=INDEX(choices!A:A,MATCH(M6,choices!A:A,0)+15),INDEX(choices!C:C,MATCH(M6,choices!A:A,0)+15),""),IF(M6=INDEX(choices!A:A,MATCH(M6,choices!A:A,0)+15), "
",""),IF(M6=INDEX(choices!A:A,MATCH(M6,choices!A:A,0)+16),INDEX(choices!C:C,MATCH(M6,choices!A:A,0)+16),""),IF(M6=INDEX(choices!A:A,MATCH(M6,choices!A:A,0)+16), "
",""),IF(M6=INDEX(choices!A:A,MATCH(M6,choices!A:A,0)+17),INDEX(choices!C:C,MATCH(M6,choices!A:A,0)+17),""),IF(M6=INDEX(choices!A:A,MATCH(M6,choices!A:A,0)+17), "
",""),IF(M6=INDEX(choices!A:A,MATCH(M6,choices!A:A,0)+18),INDEX(choices!C:C,MATCH(M6,choices!A:A,0)+18),""),IF(M6=INDEX(choices!A:A,MATCH(M6,choices!A:A,0)+18), "
",""),IF(M6=INDEX(choices!A:A,MATCH(M6,choices!A:A,0)+19),INDEX(choices!C:C,MATCH(M6,choices!A:A,0)+19),""),IF(M6=INDEX(choices!A:A,MATCH(M6,choices!A:A,0)+19), "
",""),IF(M6=INDEX(choices!A:A,MATCH(M6,choices!A:A,0)+20),INDEX(choices!C:C,MATCH(M6,choices!A:A,0)+20),""),IF(M6=INDEX(choices!A:A,MATCH(M6,choices!A:A,0)+20), "
","")," ")</f>
        <v xml:space="preserve">1. نعم
2. لا
 </v>
      </c>
      <c r="H6" s="31" t="s">
        <v>429</v>
      </c>
      <c r="I6" s="19">
        <v>14101</v>
      </c>
      <c r="L6" s="19" t="s">
        <v>18</v>
      </c>
      <c r="M6" s="19" t="s">
        <v>17</v>
      </c>
      <c r="N6" s="31" t="str">
        <f>CONCATENATE("q",I6)</f>
        <v>q14101</v>
      </c>
      <c r="O6" s="48" t="str">
        <f>CONCATENATE(I6, ". ",E6)</f>
        <v>14101. هل يعمل أو يقيم أيّ من أفراد الأسرة بالخارج حاليا؟</v>
      </c>
      <c r="P6" s="31" t="str">
        <f>CONCATENATE(I6, ". ",B6)</f>
        <v xml:space="preserve">14101. Is there any household member who is currently working or living abroad? </v>
      </c>
      <c r="Q6" s="415" t="s">
        <v>1549</v>
      </c>
      <c r="R6" s="31" t="s">
        <v>528</v>
      </c>
      <c r="S6" s="31" t="s">
        <v>499</v>
      </c>
      <c r="U6" s="31"/>
      <c r="V6" s="31"/>
      <c r="W6" s="31"/>
      <c r="Y6" s="16" t="b">
        <v>1</v>
      </c>
    </row>
    <row r="7" spans="1:27" s="19" customFormat="1">
      <c r="A7" s="31"/>
      <c r="B7" s="31"/>
      <c r="C7" s="31"/>
      <c r="D7" s="31"/>
      <c r="E7" s="48"/>
      <c r="F7" s="48"/>
      <c r="G7" s="67"/>
      <c r="H7" s="31"/>
      <c r="J7" s="88" t="s">
        <v>23</v>
      </c>
      <c r="K7" s="19" t="str">
        <f>CONCATENATE("selected (data('",N6,"'), '2')")</f>
        <v>selected (data('q14101'), '2')</v>
      </c>
      <c r="N7" s="31"/>
      <c r="O7" s="48"/>
      <c r="P7" s="31"/>
      <c r="Q7" s="40"/>
      <c r="R7" s="31"/>
      <c r="S7" s="31"/>
      <c r="U7" s="31"/>
      <c r="V7" s="31"/>
      <c r="W7" s="31"/>
    </row>
    <row r="8" spans="1:27" s="19" customFormat="1" ht="30">
      <c r="A8" s="40"/>
      <c r="B8" s="22"/>
      <c r="C8" s="22"/>
      <c r="D8" s="40"/>
      <c r="E8" s="48"/>
      <c r="F8" s="48"/>
      <c r="G8" s="48"/>
      <c r="I8" s="40"/>
      <c r="J8" s="89"/>
      <c r="K8" s="16"/>
      <c r="L8" s="22" t="s">
        <v>188</v>
      </c>
      <c r="N8" s="31" t="s">
        <v>525</v>
      </c>
      <c r="O8" s="48"/>
      <c r="P8" s="85"/>
      <c r="Q8" s="40"/>
      <c r="S8" s="31"/>
      <c r="T8" s="19" t="s">
        <v>526</v>
      </c>
      <c r="U8" s="31"/>
      <c r="V8" s="31"/>
      <c r="W8" s="31"/>
      <c r="Y8" s="16" t="b">
        <v>1</v>
      </c>
      <c r="Z8" s="16"/>
    </row>
    <row r="9" spans="1:27" s="19" customFormat="1">
      <c r="A9" s="40"/>
      <c r="B9" s="22"/>
      <c r="C9" s="22"/>
      <c r="D9" s="40"/>
      <c r="E9" s="48"/>
      <c r="F9" s="48"/>
      <c r="G9" s="48"/>
      <c r="I9" s="40"/>
      <c r="J9" s="89" t="s">
        <v>24</v>
      </c>
      <c r="K9" s="16"/>
      <c r="L9" s="22"/>
      <c r="N9" s="31"/>
      <c r="O9" s="48"/>
      <c r="P9" s="85"/>
      <c r="Q9" s="40"/>
      <c r="S9" s="31"/>
      <c r="U9" s="31"/>
      <c r="V9" s="31"/>
      <c r="W9" s="31"/>
      <c r="Y9" s="16"/>
      <c r="Z9" s="16"/>
    </row>
    <row r="10" spans="1:27" s="19" customFormat="1">
      <c r="A10" s="31"/>
      <c r="B10" s="31"/>
      <c r="C10" s="31"/>
      <c r="D10" s="31"/>
      <c r="E10" s="48"/>
      <c r="F10" s="48"/>
      <c r="G10" s="31"/>
      <c r="H10" s="31"/>
      <c r="J10" s="19" t="s">
        <v>21</v>
      </c>
      <c r="N10" s="31"/>
      <c r="O10" s="48"/>
      <c r="P10" s="31"/>
      <c r="Q10" s="40"/>
      <c r="S10" s="31"/>
      <c r="U10" s="31"/>
      <c r="V10" s="31"/>
      <c r="W10" s="31"/>
    </row>
    <row r="11" spans="1:27" s="19" customFormat="1">
      <c r="A11" s="31"/>
      <c r="B11" s="31"/>
      <c r="C11" s="31"/>
      <c r="D11" s="31"/>
      <c r="E11" s="48"/>
      <c r="F11" s="48"/>
      <c r="G11" s="31"/>
      <c r="H11" s="31"/>
      <c r="J11" s="88" t="s">
        <v>23</v>
      </c>
      <c r="K11" s="19" t="str">
        <f>CONCATENATE("selected (data('",N6,"'), '1')")</f>
        <v>selected (data('q14101'), '1')</v>
      </c>
      <c r="N11" s="31"/>
      <c r="O11" s="48"/>
      <c r="P11" s="31"/>
      <c r="Q11" s="40"/>
      <c r="S11" s="31"/>
      <c r="U11" s="31"/>
      <c r="V11" s="31"/>
      <c r="W11" s="31"/>
    </row>
    <row r="12" spans="1:27" s="19" customFormat="1" ht="30">
      <c r="A12" s="40"/>
      <c r="B12" s="22"/>
      <c r="C12" s="22"/>
      <c r="D12" s="40"/>
      <c r="E12" s="48"/>
      <c r="F12" s="48"/>
      <c r="G12" s="48"/>
      <c r="I12" s="40"/>
      <c r="J12" s="89"/>
      <c r="K12" s="16"/>
      <c r="L12" s="22" t="s">
        <v>188</v>
      </c>
      <c r="N12" s="31" t="s">
        <v>525</v>
      </c>
      <c r="O12" s="48"/>
      <c r="P12" s="85"/>
      <c r="Q12" s="40"/>
      <c r="S12" s="31"/>
      <c r="T12" s="19" t="s">
        <v>527</v>
      </c>
      <c r="U12" s="31"/>
      <c r="V12" s="31"/>
      <c r="W12" s="31"/>
      <c r="Y12" s="16" t="b">
        <v>1</v>
      </c>
      <c r="Z12" s="16"/>
    </row>
    <row r="13" spans="1:27" s="19" customFormat="1" ht="150">
      <c r="A13" s="31" t="str">
        <f>N13</f>
        <v>q14102</v>
      </c>
      <c r="B13" s="31" t="s">
        <v>428</v>
      </c>
      <c r="C13" s="31"/>
      <c r="D13" s="64"/>
      <c r="E13" s="294" t="s">
        <v>973</v>
      </c>
      <c r="F13" s="294"/>
      <c r="G13" s="64"/>
      <c r="H13" s="64"/>
      <c r="I13" s="19">
        <f>I6+1</f>
        <v>14102</v>
      </c>
      <c r="J13" s="159"/>
      <c r="L13" s="19" t="s">
        <v>19</v>
      </c>
      <c r="N13" s="31" t="str">
        <f>CONCATENATE("q",I13)</f>
        <v>q14102</v>
      </c>
      <c r="O13" s="48" t="str">
        <f>CONCATENATE(I13, ". ",E13)</f>
        <v>14102. ما هو عدد أفراد الأسرة المتواجدين بالخارج والذين تبلغ أعمارهم 15 سنة فأكثر؟</v>
      </c>
      <c r="P13" s="31" t="str">
        <f>CONCATENATE(I13, ". ",B13)</f>
        <v xml:space="preserve">14102. What is the number of household members, 15 years of age or above, present abroad? </v>
      </c>
      <c r="Q13" s="40"/>
      <c r="S13" s="31" t="str">
        <f>CONCATENATE(K11, " &amp;&amp; ", S6)</f>
        <v>selected (data('q14101'), '1') &amp;&amp; (data('valid_overall') == 1)</v>
      </c>
      <c r="U13" s="31"/>
      <c r="V13" s="31"/>
      <c r="W13" s="31"/>
      <c r="Y13" s="18" t="b">
        <v>1</v>
      </c>
    </row>
    <row r="14" spans="1:27" s="19" customFormat="1" ht="210">
      <c r="A14" s="64"/>
      <c r="B14" s="31" t="s">
        <v>504</v>
      </c>
      <c r="C14" s="48" t="str">
        <f>CONCATENATE("Hints: ", R14)</f>
        <v>Hints: A migrant is any one who was in the household for at least 6 months before he or she travelled. (Migrants must be ages 15-98)</v>
      </c>
      <c r="D14" s="64"/>
      <c r="E14" s="294" t="s">
        <v>974</v>
      </c>
      <c r="F14" s="48" t="str">
        <f>CONCATENATE("Hints: ",Q14, )</f>
        <v>Hints: المهاجر هو كل شخص- يبلغ من العمر 15-98 سنة- وأقام مع الأسرة 6 أشهر على الأقلّ قبل السفر</v>
      </c>
      <c r="G14" s="64"/>
      <c r="H14" s="31" t="s">
        <v>510</v>
      </c>
      <c r="I14" s="31"/>
      <c r="J14" s="159"/>
      <c r="L14" s="19" t="s">
        <v>60</v>
      </c>
      <c r="M14" s="16" t="s">
        <v>289</v>
      </c>
      <c r="N14" s="31"/>
      <c r="O14" s="48" t="str">
        <f>E14</f>
        <v>أضف أفراد الأسرة الذين يعيشون في الخارج ويبلغون من العمر 15 سنة أو أكثر:</v>
      </c>
      <c r="P14" s="31" t="str">
        <f>B14</f>
        <v xml:space="preserve">Add household members who are currently living abroad who are 15 years of age or older: </v>
      </c>
      <c r="Q14" s="48" t="s">
        <v>976</v>
      </c>
      <c r="R14" s="31" t="s">
        <v>427</v>
      </c>
      <c r="S14" s="31" t="str">
        <f>CONCATENATE(K11, " &amp;&amp; ", S6)</f>
        <v>selected (data('q14101'), '1') &amp;&amp; (data('valid_overall') == 1)</v>
      </c>
      <c r="U14" s="31"/>
      <c r="V14" s="31"/>
      <c r="W14" s="31"/>
      <c r="Y14" s="18" t="b">
        <v>1</v>
      </c>
    </row>
    <row r="15" spans="1:27" s="19" customFormat="1">
      <c r="A15" s="64"/>
      <c r="B15" s="31"/>
      <c r="C15" s="31"/>
      <c r="D15" s="64"/>
      <c r="E15" s="48"/>
      <c r="F15" s="48"/>
      <c r="G15" s="64"/>
      <c r="I15" s="31"/>
      <c r="J15" s="66" t="s">
        <v>20</v>
      </c>
      <c r="M15" s="16"/>
      <c r="N15" s="31"/>
      <c r="O15" s="48"/>
      <c r="P15" s="31"/>
      <c r="Q15" s="40"/>
      <c r="R15" s="31"/>
      <c r="S15" s="31"/>
      <c r="U15" s="31"/>
      <c r="V15" s="31"/>
      <c r="W15" s="31"/>
      <c r="Y15" s="18"/>
    </row>
    <row r="16" spans="1:27" s="19" customFormat="1" ht="165">
      <c r="A16" s="64"/>
      <c r="B16" s="31" t="s">
        <v>505</v>
      </c>
      <c r="C16" s="31"/>
      <c r="D16" s="64"/>
      <c r="E16" s="231" t="s">
        <v>975</v>
      </c>
      <c r="F16" s="231"/>
      <c r="G16" s="64"/>
      <c r="H16" s="31" t="s">
        <v>510</v>
      </c>
      <c r="I16" s="31"/>
      <c r="J16" s="159"/>
      <c r="L16" s="19" t="s">
        <v>60</v>
      </c>
      <c r="M16" s="16" t="s">
        <v>291</v>
      </c>
      <c r="N16" s="31"/>
      <c r="O16" s="48" t="str">
        <f>E16</f>
        <v>عدل بيانات أفراد الأسرة الذين يعيشون في الخارج ويبلغون من العمر 15 سنة أو أكثر:</v>
      </c>
      <c r="P16" s="31" t="str">
        <f>B16</f>
        <v xml:space="preserve">Edit household members who are currently living abroad who are 15 years of age or older: </v>
      </c>
      <c r="Q16" s="40"/>
      <c r="S16" s="31" t="str">
        <f>CONCATENATE(K11, " &amp;&amp; ", S6)</f>
        <v>selected (data('q14101'), '1') &amp;&amp; (data('valid_overall') == 1)</v>
      </c>
      <c r="U16" s="31"/>
      <c r="V16" s="31"/>
      <c r="W16" s="31"/>
      <c r="Y16" s="18" t="b">
        <v>1</v>
      </c>
      <c r="Z16" s="19" t="b">
        <v>1</v>
      </c>
      <c r="AA16" s="19" t="b">
        <v>1</v>
      </c>
    </row>
    <row r="17" spans="1:26" s="18" customFormat="1" ht="30">
      <c r="A17" s="30"/>
      <c r="B17" s="131"/>
      <c r="C17" s="131"/>
      <c r="D17" s="31"/>
      <c r="E17" s="295"/>
      <c r="F17" s="295"/>
      <c r="G17" s="129"/>
      <c r="H17" s="129"/>
      <c r="I17" s="30"/>
      <c r="L17" s="174" t="s">
        <v>376</v>
      </c>
      <c r="M17" s="169" t="s">
        <v>521</v>
      </c>
      <c r="N17" s="344" t="s">
        <v>523</v>
      </c>
      <c r="O17" s="48"/>
      <c r="P17" s="127"/>
      <c r="Q17" s="155"/>
      <c r="S17" s="31"/>
      <c r="U17" s="30"/>
      <c r="V17" s="30"/>
      <c r="W17" s="30"/>
      <c r="Y17" s="18" t="b">
        <v>1</v>
      </c>
    </row>
    <row r="18" spans="1:26" s="18" customFormat="1" ht="30">
      <c r="A18" s="30"/>
      <c r="B18" s="131"/>
      <c r="C18" s="131"/>
      <c r="D18" s="31"/>
      <c r="E18" s="295"/>
      <c r="F18" s="295"/>
      <c r="G18" s="129"/>
      <c r="H18" s="129"/>
      <c r="I18" s="30"/>
      <c r="L18" s="174" t="s">
        <v>376</v>
      </c>
      <c r="M18" s="169" t="s">
        <v>522</v>
      </c>
      <c r="N18" s="344" t="s">
        <v>524</v>
      </c>
      <c r="O18" s="48"/>
      <c r="P18" s="127"/>
      <c r="Q18" s="155"/>
      <c r="S18" s="30"/>
      <c r="U18" s="30"/>
      <c r="V18" s="30"/>
      <c r="W18" s="30"/>
      <c r="Y18" s="18" t="b">
        <v>1</v>
      </c>
    </row>
    <row r="19" spans="1:26" s="18" customFormat="1">
      <c r="A19" s="30"/>
      <c r="B19" s="131"/>
      <c r="C19" s="131"/>
      <c r="D19" s="31"/>
      <c r="E19" s="295"/>
      <c r="F19" s="295"/>
      <c r="G19" s="129"/>
      <c r="H19" s="129"/>
      <c r="I19" s="30"/>
      <c r="J19" s="140" t="s">
        <v>21</v>
      </c>
      <c r="L19" s="174"/>
      <c r="M19" s="169"/>
      <c r="N19" s="344"/>
      <c r="O19" s="48"/>
      <c r="P19" s="127"/>
      <c r="Q19" s="155"/>
      <c r="S19" s="30"/>
      <c r="U19" s="30"/>
      <c r="V19" s="30"/>
      <c r="W19" s="30"/>
    </row>
    <row r="20" spans="1:26" s="18" customFormat="1">
      <c r="A20" s="30"/>
      <c r="B20" s="131"/>
      <c r="C20" s="131"/>
      <c r="D20" s="31"/>
      <c r="E20" s="295"/>
      <c r="F20" s="295"/>
      <c r="G20" s="129"/>
      <c r="H20" s="129"/>
      <c r="I20" s="30"/>
      <c r="J20" s="21" t="s">
        <v>24</v>
      </c>
      <c r="L20" s="174"/>
      <c r="M20" s="169"/>
      <c r="N20" s="344"/>
      <c r="O20" s="48"/>
      <c r="P20" s="127"/>
      <c r="Q20" s="155"/>
      <c r="S20" s="30"/>
      <c r="U20" s="30"/>
      <c r="V20" s="30"/>
      <c r="W20" s="30"/>
    </row>
    <row r="21" spans="1:26" s="18" customFormat="1">
      <c r="A21" s="30"/>
      <c r="B21" s="131"/>
      <c r="C21" s="131"/>
      <c r="D21" s="31"/>
      <c r="E21" s="295"/>
      <c r="F21" s="295"/>
      <c r="G21" s="129"/>
      <c r="H21" s="129"/>
      <c r="I21" s="30"/>
      <c r="J21" s="21" t="s">
        <v>51</v>
      </c>
      <c r="K21" s="18" t="str">
        <f>CONCATENATE("selected(data('",N6,"'), '1')")</f>
        <v>selected(data('q14101'), '1')</v>
      </c>
      <c r="L21" s="174"/>
      <c r="M21" s="169"/>
      <c r="N21" s="344"/>
      <c r="O21" s="48"/>
      <c r="P21" s="127"/>
      <c r="Q21" s="155"/>
      <c r="S21" s="30"/>
      <c r="U21" s="30"/>
      <c r="V21" s="30"/>
      <c r="W21" s="30"/>
    </row>
    <row r="22" spans="1:26" s="18" customFormat="1">
      <c r="A22" s="30"/>
      <c r="B22" s="131"/>
      <c r="C22" s="131"/>
      <c r="D22" s="31"/>
      <c r="E22" s="295"/>
      <c r="F22" s="295"/>
      <c r="G22" s="129"/>
      <c r="H22" s="129"/>
      <c r="I22" s="30"/>
      <c r="J22" s="140" t="s">
        <v>20</v>
      </c>
      <c r="L22" s="174"/>
      <c r="M22" s="169"/>
      <c r="N22" s="344"/>
      <c r="O22" s="48"/>
      <c r="P22" s="127"/>
      <c r="Q22" s="155"/>
      <c r="S22" s="30"/>
      <c r="U22" s="30"/>
      <c r="V22" s="30"/>
      <c r="W22" s="30"/>
    </row>
    <row r="23" spans="1:26" s="18" customFormat="1" ht="139.5" customHeight="1">
      <c r="A23" s="30"/>
      <c r="B23" s="131" t="str">
        <f>CONCATENATE("You stated there were {{data.",N13, "}} migrants. You started {{data.",N17,"}} migrants and finished {{data.",N18,"}}")</f>
        <v>You stated there were {{data.q14102}} migrants. You started {{data.zmigrant_count_1}} migrants and finished {{data.zmigrant_count_2}}</v>
      </c>
      <c r="C23" s="131"/>
      <c r="D23" s="31"/>
      <c r="E23" s="295" t="str">
        <f>CONCATENATE("لقد ذكرت أن عدد المهاجرين:  ", "{{data.", N13, "}}", " . لقد بدأت بالعدد: ", "{{data.",N17,"}}", "  وانتهيت بالعدد:  ", " {{data.",N18," }}.")</f>
        <v>لقد ذكرت أن عدد المهاجرين:  {{data.q14102}} . لقد بدأت بالعدد: {{data.zmigrant_count_1}}  وانتهيت بالعدد:   {{data.zmigrant_count_2 }}.</v>
      </c>
      <c r="F23" s="295"/>
      <c r="G23" s="129"/>
      <c r="H23" s="129"/>
      <c r="I23" s="30"/>
      <c r="J23" s="140"/>
      <c r="L23" s="174" t="s">
        <v>22</v>
      </c>
      <c r="M23" s="169"/>
      <c r="N23" s="344"/>
      <c r="O23" s="48" t="str">
        <f>E23</f>
        <v>لقد ذكرت أن عدد المهاجرين:  {{data.q14102}} . لقد بدأت بالعدد: {{data.zmigrant_count_1}}  وانتهيت بالعدد:   {{data.zmigrant_count_2 }}.</v>
      </c>
      <c r="P23" s="31" t="str">
        <f>B23</f>
        <v>You stated there were {{data.q14102}} migrants. You started {{data.zmigrant_count_1}} migrants and finished {{data.zmigrant_count_2}}</v>
      </c>
      <c r="Q23" s="155"/>
      <c r="S23" s="30"/>
      <c r="U23" s="30"/>
      <c r="V23" s="30"/>
      <c r="W23" s="30"/>
      <c r="Y23" s="18" t="b">
        <v>1</v>
      </c>
    </row>
    <row r="24" spans="1:26" s="18" customFormat="1" ht="330">
      <c r="A24" s="30"/>
      <c r="B24" s="131"/>
      <c r="C24" s="48" t="str">
        <f>CONCATENATE("Constraints: ", X24)</f>
        <v>Constraints: Need to complete all travelers</v>
      </c>
      <c r="D24" s="31"/>
      <c r="F24" s="48" t="str">
        <f xml:space="preserve"> CONCATENATE("Constraints: ",W24)</f>
        <v>Constraints: تحتاج إلى إكمال جميع المسافرين</v>
      </c>
      <c r="G24" s="129"/>
      <c r="H24" s="129"/>
      <c r="I24" s="30"/>
      <c r="J24" s="140"/>
      <c r="L24" s="434" t="s">
        <v>18</v>
      </c>
      <c r="M24" s="71" t="s">
        <v>1594</v>
      </c>
      <c r="N24" s="344" t="s">
        <v>592</v>
      </c>
      <c r="O24" s="48"/>
      <c r="P24" s="127"/>
      <c r="Q24" s="155"/>
      <c r="S24" s="30" t="str">
        <f>CONCATENATE(K11, " &amp;&amp; ", S6)</f>
        <v>selected (data('q14101'), '1') &amp;&amp; (data('valid_overall') == 1)</v>
      </c>
      <c r="V24" s="30" t="str">
        <f>CONCATENATE("data('valid_overall') == 0 || selected(data('",N6,"'), '2') || ((data('",N17,"') == data('",N18,"')) &amp;&amp; (data('",N17,"') == data('",N13,"')) &amp;&amp; (data('",N13,"') == data('",N18,"')))")</f>
        <v>data('valid_overall') == 0 || selected(data('q14101'), '2') || ((data('zmigrant_count_1') == data('zmigrant_count_2')) &amp;&amp; (data('zmigrant_count_1') == data('q14102')) &amp;&amp; (data('q14102') == data('zmigrant_count_2')))</v>
      </c>
      <c r="W24" s="30" t="s">
        <v>506</v>
      </c>
      <c r="X24" s="30" t="s">
        <v>507</v>
      </c>
      <c r="Y24" s="18" t="b">
        <v>1</v>
      </c>
    </row>
    <row r="25" spans="1:26" s="19" customFormat="1" ht="15.75">
      <c r="A25" s="30"/>
      <c r="B25" s="129"/>
      <c r="C25" s="129"/>
      <c r="D25" s="31"/>
      <c r="E25" s="295"/>
      <c r="F25" s="295"/>
      <c r="G25" s="129"/>
      <c r="H25" s="129"/>
      <c r="I25" s="31"/>
      <c r="J25" s="140" t="s">
        <v>21</v>
      </c>
      <c r="M25" s="16"/>
      <c r="N25" s="31"/>
      <c r="O25" s="48"/>
      <c r="P25" s="31"/>
      <c r="Q25" s="40"/>
      <c r="S25" s="31"/>
      <c r="U25" s="31"/>
      <c r="V25" s="31"/>
      <c r="W25" s="31"/>
      <c r="X25" s="156"/>
      <c r="Y25" s="157"/>
      <c r="Z25" s="18"/>
    </row>
    <row r="26" spans="1:26" s="19" customFormat="1">
      <c r="A26" s="64"/>
      <c r="B26" s="64"/>
      <c r="C26" s="64"/>
      <c r="D26" s="64"/>
      <c r="E26" s="48"/>
      <c r="F26" s="48"/>
      <c r="G26" s="64"/>
      <c r="H26" s="64"/>
      <c r="J26" s="19" t="s">
        <v>24</v>
      </c>
      <c r="N26" s="31"/>
      <c r="O26" s="48"/>
      <c r="P26" s="31"/>
      <c r="Q26" s="40"/>
      <c r="S26" s="31"/>
      <c r="U26" s="31"/>
      <c r="V26" s="31"/>
      <c r="W26" s="3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workbookViewId="0">
      <pane ySplit="1" topLeftCell="A11" activePane="bottomLeft" state="frozen"/>
      <selection pane="bottomLeft" activeCell="L18" sqref="L18:M18"/>
    </sheetView>
  </sheetViews>
  <sheetFormatPr defaultColWidth="11.42578125" defaultRowHeight="15"/>
  <sheetData>
    <row r="1" spans="1:30" s="332" customFormat="1" ht="45">
      <c r="A1" s="332" t="s">
        <v>5</v>
      </c>
      <c r="B1" s="94" t="s">
        <v>5</v>
      </c>
      <c r="C1" s="94" t="s">
        <v>5</v>
      </c>
      <c r="D1" s="94" t="s">
        <v>5</v>
      </c>
      <c r="E1" s="94" t="s">
        <v>5</v>
      </c>
      <c r="F1" s="94" t="s">
        <v>5</v>
      </c>
      <c r="G1" s="94" t="s">
        <v>5</v>
      </c>
      <c r="H1" s="94" t="s">
        <v>5</v>
      </c>
      <c r="I1" s="332" t="s">
        <v>5</v>
      </c>
      <c r="J1" s="334" t="s">
        <v>0</v>
      </c>
      <c r="K1" s="334" t="s">
        <v>1</v>
      </c>
      <c r="L1" s="332" t="s">
        <v>2</v>
      </c>
      <c r="M1" s="332" t="s">
        <v>3</v>
      </c>
      <c r="N1" s="94" t="s">
        <v>4</v>
      </c>
      <c r="O1" s="94" t="s">
        <v>1282</v>
      </c>
      <c r="P1" s="94" t="s">
        <v>1283</v>
      </c>
      <c r="Q1" s="62" t="s">
        <v>1286</v>
      </c>
      <c r="R1" s="62" t="s">
        <v>1287</v>
      </c>
      <c r="S1" s="332" t="s">
        <v>7</v>
      </c>
      <c r="T1" s="332" t="s">
        <v>47</v>
      </c>
      <c r="U1" s="332" t="s">
        <v>148</v>
      </c>
      <c r="V1" s="332" t="s">
        <v>25</v>
      </c>
      <c r="W1" s="52" t="s">
        <v>1288</v>
      </c>
      <c r="X1" s="52" t="s">
        <v>1289</v>
      </c>
      <c r="Y1" s="332" t="s">
        <v>6</v>
      </c>
      <c r="Z1" s="160" t="s">
        <v>374</v>
      </c>
      <c r="AA1" s="160" t="s">
        <v>375</v>
      </c>
    </row>
    <row r="2" spans="1:30" s="52" customFormat="1" ht="45">
      <c r="A2" s="102" t="s">
        <v>353</v>
      </c>
      <c r="B2" s="103" t="s">
        <v>354</v>
      </c>
      <c r="C2" s="102" t="s">
        <v>1187</v>
      </c>
      <c r="D2" s="103" t="s">
        <v>358</v>
      </c>
      <c r="E2" s="95" t="s">
        <v>355</v>
      </c>
      <c r="F2" s="102" t="s">
        <v>1186</v>
      </c>
      <c r="G2" s="79" t="s">
        <v>357</v>
      </c>
      <c r="H2" s="74" t="s">
        <v>356</v>
      </c>
      <c r="I2" s="74" t="s">
        <v>426</v>
      </c>
      <c r="J2" s="15"/>
      <c r="K2" s="15"/>
      <c r="O2" s="73"/>
      <c r="P2" s="62"/>
      <c r="Q2" s="62"/>
      <c r="R2" s="62"/>
      <c r="W2" s="31"/>
      <c r="X2" s="31"/>
      <c r="AA2" s="33"/>
      <c r="AB2" s="33"/>
      <c r="AC2" s="98"/>
      <c r="AD2" s="98"/>
    </row>
    <row r="3" spans="1:30" s="52" customFormat="1">
      <c r="A3" s="104" t="s">
        <v>364</v>
      </c>
      <c r="B3" s="128" t="s">
        <v>365</v>
      </c>
      <c r="C3" s="128"/>
      <c r="D3" s="104" t="s">
        <v>365</v>
      </c>
      <c r="E3" s="128" t="s">
        <v>365</v>
      </c>
      <c r="F3" s="128"/>
      <c r="G3" s="128" t="s">
        <v>365</v>
      </c>
      <c r="H3" s="223" t="s">
        <v>364</v>
      </c>
      <c r="I3" s="223" t="s">
        <v>364</v>
      </c>
      <c r="J3" s="15"/>
      <c r="K3" s="15"/>
      <c r="O3" s="73"/>
      <c r="P3" s="62"/>
      <c r="Q3" s="62"/>
      <c r="R3" s="62"/>
      <c r="V3" s="62"/>
      <c r="W3" s="63"/>
      <c r="X3" s="63"/>
      <c r="AA3" s="33"/>
      <c r="AB3" s="33"/>
      <c r="AC3" s="98"/>
      <c r="AD3" s="98"/>
    </row>
    <row r="4" spans="1:30" s="31" customFormat="1" ht="60">
      <c r="B4" s="31" t="s">
        <v>1208</v>
      </c>
      <c r="E4" s="40" t="s">
        <v>977</v>
      </c>
      <c r="F4" s="40"/>
      <c r="I4" s="63"/>
      <c r="L4" s="31" t="s">
        <v>22</v>
      </c>
      <c r="O4" s="78" t="str">
        <f>E4</f>
        <v xml:space="preserve"> 14.2 تحويلات من أفراد   </v>
      </c>
      <c r="P4" s="299" t="str">
        <f>B4</f>
        <v>14.2: Transfers from individuals</v>
      </c>
      <c r="Q4" s="299"/>
      <c r="R4" s="299"/>
      <c r="T4" s="63"/>
      <c r="U4" s="63"/>
      <c r="V4" s="63"/>
      <c r="W4" s="63"/>
      <c r="X4" s="63"/>
      <c r="Y4" s="63"/>
    </row>
    <row r="5" spans="1:30" s="64" customFormat="1" ht="409.5">
      <c r="A5" s="48" t="str">
        <f>N5</f>
        <v>q14201</v>
      </c>
      <c r="B5" s="31" t="s">
        <v>508</v>
      </c>
      <c r="C5" s="31"/>
      <c r="D5" s="31" t="str">
        <f>CONCATENATE(INDEX(choices!D:D,MATCH(M5,choices!A:A,0)),"
",IF(M5=INDEX(choices!A:A,MATCH(M5,choices!A:A,0)+1),INDEX(choices!D:D,MATCH(M5,choices!A:A,0)+1),""),IF(M5=INDEX(choices!A:A,MATCH(M5,choices!A:A,0)+1), "
",""),IF(M5=INDEX(choices!A:A,MATCH(M5,choices!A:A,0)+2),INDEX(choices!D:D,MATCH(M5,choices!A:A,0)+2),""),IF(M5=INDEX(choices!A:A,MATCH(M5,choices!A:A,0)+2), "
",""),IF(M5=INDEX(choices!A:A,MATCH(M5,choices!A:A,0)+3),INDEX(choices!D:D,MATCH(M5,choices!A:A,0)+3),""),IF(M5=INDEX(choices!A:A,MATCH(M5,choices!A:A,0)+3), "
",""),IF(M5=INDEX(choices!A:A,MATCH(M5,choices!A:A,0)+4),INDEX(choices!D:D,MATCH(M5,choices!A:A,0)+4),""),IF(M5=INDEX(choices!A:A,MATCH(M5,choices!A:A,0)+4), "
",""),IF(M5=INDEX(choices!A:A,MATCH(M5,choices!A:A,0)+5),INDEX(choices!D:D,MATCH(M5,choices!A:A,0)+5),""),IF(M5=INDEX(choices!A:A,MATCH(M5,choices!A:A,0)+5), "
",""),IF(M5=INDEX(choices!A:A,MATCH(M5,choices!A:A,0)+6),INDEX(choices!D:D,MATCH(M5,choices!A:A,0)+6),""),IF(M5=INDEX(choices!A:A,MATCH(M5,choices!A:A,0)+6), "
",""),IF(M5=INDEX(choices!A:A,MATCH(M5,choices!A:A,0)+7),INDEX(choices!D:D,MATCH(M5,choices!A:A,0)+7),""),IF(M5=INDEX(choices!A:A,MATCH(M5,choices!A:A,0)+7), "
",""),IF(M5=INDEX(choices!A:A,MATCH(M5,choices!A:A,0)+8),INDEX(choices!D:D,MATCH(M5,choices!A:A,0)+8),""),IF(M5=INDEX(choices!A:A,MATCH(M5,choices!A:A,0)+8), "
",""),IF(M5=INDEX(choices!A:A,MATCH(M5,choices!A:A,0)+9),INDEX(choices!D:D,MATCH(M5,choices!A:A,0)+9),""),IF(M5=INDEX(choices!A:A,MATCH(M5,choices!A:A,0)+9), "
",""),IF(M5=INDEX(choices!A:A,MATCH(M5,choices!A:A,0)+10),INDEX(choices!D:D,MATCH(M5,choices!A:A,0)+10),""),IF(M5=INDEX(choices!A:A,MATCH(M5,choices!A:A,0)+10), "
",""),IF(M5=INDEX(choices!A:A,MATCH(M5,choices!A:A,0)+11),INDEX(choices!D:D,MATCH(M5,choices!A:A,0)+11),""),IF(M5=INDEX(choices!A:A,MATCH(M5,choices!A:A,0)+11), "
",""),IF(M5=INDEX(choices!A:A,MATCH(M5,choices!A:A,0)+12),INDEX(choices!D:D,MATCH(M5,choices!A:A,0)+12),""),IF(M5=INDEX(choices!A:A,MATCH(M5,choices!A:A,0)+12), "
",""),IF(M5=INDEX(choices!A:A,MATCH(M5,choices!A:A,0)+13),INDEX(choices!D:D,MATCH(M5,choices!A:A,0)+13),""),IF(M5=INDEX(choices!A:A,MATCH(M5,choices!A:A,0)+13), "
",""),IF(M5=INDEX(choices!A:A,MATCH(M5,choices!A:A,0)+14),INDEX(choices!D:D,MATCH(M5,choices!A:A,0)+14),""),IF(M5=INDEX(choices!A:A,MATCH(M5,choices!A:A,0)+14), "
",""),IF(M5=INDEX(choices!A:A,MATCH(M5,choices!A:A,0)+15),INDEX(choices!D:D,MATCH(M5,choices!A:A,0)+15),""),IF(M5=INDEX(choices!A:A,MATCH(M5,choices!A:A,0)+15), "
",""),IF(M5=INDEX(choices!A:A,MATCH(M5,choices!A:A,0)+16),INDEX(choices!D:D,MATCH(M5,choices!A:A,0)+16),""),IF(M5=INDEX(choices!A:A,MATCH(M5,choices!A:A,0)+16), "
",""),IF(M5=INDEX(choices!A:A,MATCH(M5,choices!A:A,0)+17),INDEX(choices!D:D,MATCH(M5,choices!A:A,0)+17),""),IF(M5=INDEX(choices!A:A,MATCH(M5,choices!A:A,0)+17), "
",""),IF(M5=INDEX(choices!A:A,MATCH(M5,choices!A:A,0)+18),INDEX(choices!D:D,MATCH(M5,choices!A:A,0)+18),""),IF(M5=INDEX(choices!A:A,MATCH(M5,choices!A:A,0)+18), "
",""),IF(M5=INDEX(choices!A:A,MATCH(M5,choices!A:A,0)+19),INDEX(choices!D:D,MATCH(M5,choices!A:A,0)+19),""),IF(M5=INDEX(choices!A:A,MATCH(M5,choices!A:A,0)+19), "
",""),IF(M5=INDEX(choices!A:A,MATCH(M5,choices!A:A,0)+20),INDEX(choices!D:D,MATCH(M5,choices!A:A,0)+20),""),IF(M5=INDEX(choices!A:A,MATCH(M5,choices!A:A,0)+20), "
",""))</f>
        <v xml:space="preserve">1. Yes
2. No
</v>
      </c>
      <c r="E5" s="231" t="s">
        <v>978</v>
      </c>
      <c r="F5" s="231"/>
      <c r="G5" s="67" t="str">
        <f>CONCATENATE(INDEX(choices!C:C,MATCH(M5,choices!A:A,0)),"
",IF(M5=INDEX(choices!A:A,MATCH(M5,choices!A:A,0)+1),INDEX(choices!C:C,MATCH(M5,choices!A:A,0)+1),""),IF(M5=INDEX(choices!A:A,MATCH(M5,choices!A:A,0)+1), "
",""),IF(M5=INDEX(choices!A:A,MATCH(M5,choices!A:A,0)+2),INDEX(choices!C:C,MATCH(M5,choices!A:A,0)+2),""),IF(M5=INDEX(choices!A:A,MATCH(M5,choices!A:A,0)+2), "
",""),IF(M5=INDEX(choices!A:A,MATCH(M5,choices!A:A,0)+3),INDEX(choices!C:C,MATCH(M5,choices!A:A,0)+3),""),IF(M5=INDEX(choices!A:A,MATCH(M5,choices!A:A,0)+3), "
",""),IF(M5=INDEX(choices!A:A,MATCH(M5,choices!A:A,0)+4),INDEX(choices!C:C,MATCH(M5,choices!A:A,0)+4),""),IF(M5=INDEX(choices!A:A,MATCH(M5,choices!A:A,0)+4), "
",""),IF(M5=INDEX(choices!A:A,MATCH(M5,choices!A:A,0)+5),INDEX(choices!C:C,MATCH(M5,choices!A:A,0)+5),""),IF(M5=INDEX(choices!A:A,MATCH(M5,choices!A:A,0)+5), "
",""),IF(M5=INDEX(choices!A:A,MATCH(M5,choices!A:A,0)+6),INDEX(choices!C:C,MATCH(M5,choices!A:A,0)+6),""),IF(M5=INDEX(choices!A:A,MATCH(M5,choices!A:A,0)+6), "
",""),IF(M5=INDEX(choices!A:A,MATCH(M5,choices!A:A,0)+7),INDEX(choices!C:C,MATCH(M5,choices!A:A,0)+7),""),IF(M5=INDEX(choices!A:A,MATCH(M5,choices!A:A,0)+7), "
",""),IF(M5=INDEX(choices!A:A,MATCH(M5,choices!A:A,0)+8),INDEX(choices!C:C,MATCH(M5,choices!A:A,0)+8),""),IF(M5=INDEX(choices!A:A,MATCH(M5,choices!A:A,0)+8), "
",""),IF(M5=INDEX(choices!A:A,MATCH(M5,choices!A:A,0)+9),INDEX(choices!C:C,MATCH(M5,choices!A:A,0)+9),""),IF(M5=INDEX(choices!A:A,MATCH(M5,choices!A:A,0)+9), "
",""),IF(M5=INDEX(choices!A:A,MATCH(M5,choices!A:A,0)+10),INDEX(choices!C:C,MATCH(M5,choices!A:A,0)+10),""),IF(M5=INDEX(choices!A:A,MATCH(M5,choices!A:A,0)+10), "
",""),IF(M5=INDEX(choices!A:A,MATCH(M5,choices!A:A,0)+11),INDEX(choices!C:C,MATCH(M5,choices!A:A,0)+11),""),IF(M5=INDEX(choices!A:A,MATCH(M5,choices!A:A,0)+11), "
",""),IF(M5=INDEX(choices!A:A,MATCH(M5,choices!A:A,0)+12),INDEX(choices!C:C,MATCH(M5,choices!A:A,0)+12),""),IF(M5=INDEX(choices!A:A,MATCH(M5,choices!A:A,0)+12), "
",""),IF(M5=INDEX(choices!A:A,MATCH(M5,choices!A:A,0)+13),INDEX(choices!C:C,MATCH(M5,choices!A:A,0)+13),""),IF(M5=INDEX(choices!A:A,MATCH(M5,choices!A:A,0)+13), "
",""),IF(M5=INDEX(choices!A:A,MATCH(M5,choices!A:A,0)+14),INDEX(choices!C:C,MATCH(M5,choices!A:A,0)+14),""),IF(M5=INDEX(choices!A:A,MATCH(M5,choices!A:A,0)+14), "
",""),IF(M5=INDEX(choices!A:A,MATCH(M5,choices!A:A,0)+15),INDEX(choices!C:C,MATCH(M5,choices!A:A,0)+15),""),IF(M5=INDEX(choices!A:A,MATCH(M5,choices!A:A,0)+15), "
",""),IF(M5=INDEX(choices!A:A,MATCH(M5,choices!A:A,0)+16),INDEX(choices!C:C,MATCH(M5,choices!A:A,0)+16),""),IF(M5=INDEX(choices!A:A,MATCH(M5,choices!A:A,0)+16), "
",""),IF(M5=INDEX(choices!A:A,MATCH(M5,choices!A:A,0)+17),INDEX(choices!C:C,MATCH(M5,choices!A:A,0)+17),""),IF(M5=INDEX(choices!A:A,MATCH(M5,choices!A:A,0)+17), "
",""),IF(M5=INDEX(choices!A:A,MATCH(M5,choices!A:A,0)+18),INDEX(choices!C:C,MATCH(M5,choices!A:A,0)+18),""),IF(M5=INDEX(choices!A:A,MATCH(M5,choices!A:A,0)+18), "
",""),IF(M5=INDEX(choices!A:A,MATCH(M5,choices!A:A,0)+19),INDEX(choices!C:C,MATCH(M5,choices!A:A,0)+19),""),IF(M5=INDEX(choices!A:A,MATCH(M5,choices!A:A,0)+19), "
",""),IF(M5=INDEX(choices!A:A,MATCH(M5,choices!A:A,0)+20),INDEX(choices!C:C,MATCH(M5,choices!A:A,0)+20),""),IF(M5=INDEX(choices!A:A,MATCH(M5,choices!A:A,0)+20), "
","")," ")</f>
        <v xml:space="preserve">1. نعم
2. لا
 </v>
      </c>
      <c r="H5" s="31" t="s">
        <v>425</v>
      </c>
      <c r="I5" s="64">
        <v>14201</v>
      </c>
      <c r="L5" s="9" t="s">
        <v>18</v>
      </c>
      <c r="M5" s="9" t="s">
        <v>17</v>
      </c>
      <c r="N5" s="64" t="str">
        <f>CONCATENATE("q",I5)</f>
        <v>q14201</v>
      </c>
      <c r="O5" s="48" t="str">
        <f>CONCATENATE(I5, ". ",E5)</f>
        <v xml:space="preserve">14201. خلال الـ12 شهر الماضية، هل وصلت لأسرتك وأي من أفرادها أي تحويلات مالية أو عينية من أفراد من خارج الأسرة أو كانوا أعضاء سابقين بالأسرة، سواء من داخل أو خارج البلاد؟ مثل: أقارب يعيشون في مكان آخر، مصاريف أطفال، نفقة، إعانة من أصدقاء أو جيران  </v>
      </c>
      <c r="P5" s="31" t="str">
        <f>CONCATENATE(I5, ". ",B5)</f>
        <v>14201. During the past twelve months has your household or any of its members received any money or goods from persons who are not members of your household (either from inside or outside the country) or who are former members of your household? For example: relatives living elsewhere, child expenses, maintenance, help from friends or neighbors</v>
      </c>
      <c r="Q5" s="31"/>
      <c r="R5" s="31"/>
      <c r="S5" s="19" t="s">
        <v>499</v>
      </c>
      <c r="V5" s="31"/>
      <c r="W5" s="31"/>
      <c r="X5" s="31"/>
      <c r="Y5" s="19" t="b">
        <v>1</v>
      </c>
    </row>
    <row r="6" spans="1:30" s="64" customFormat="1">
      <c r="A6" s="31"/>
      <c r="B6" s="31"/>
      <c r="C6" s="31"/>
      <c r="D6" s="31"/>
      <c r="E6" s="40"/>
      <c r="F6" s="40"/>
      <c r="G6" s="31"/>
      <c r="H6" s="31"/>
      <c r="J6" s="64" t="s">
        <v>23</v>
      </c>
      <c r="K6" s="64" t="str">
        <f>CONCATENATE("selected(data('",N5,"'), '1')")</f>
        <v>selected(data('q14201'), '1')</v>
      </c>
      <c r="L6" s="9"/>
      <c r="M6" s="9"/>
      <c r="O6" s="48"/>
      <c r="P6" s="31"/>
      <c r="Q6" s="31"/>
      <c r="R6" s="31"/>
      <c r="S6" s="19"/>
      <c r="V6" s="31"/>
      <c r="W6" s="31"/>
      <c r="X6" s="31"/>
    </row>
    <row r="7" spans="1:30" s="19" customFormat="1" ht="105">
      <c r="A7" s="48" t="str">
        <f>N7</f>
        <v>q14202</v>
      </c>
      <c r="B7" s="31" t="s">
        <v>424</v>
      </c>
      <c r="C7" s="31"/>
      <c r="E7" s="294" t="s">
        <v>979</v>
      </c>
      <c r="F7" s="294"/>
      <c r="G7" s="31"/>
      <c r="H7" s="31"/>
      <c r="I7" s="19">
        <f>I5+1</f>
        <v>14202</v>
      </c>
      <c r="J7" s="66"/>
      <c r="L7" s="9" t="s">
        <v>19</v>
      </c>
      <c r="M7" s="18"/>
      <c r="N7" s="19" t="str">
        <f>CONCATENATE("q",I7)</f>
        <v>q14202</v>
      </c>
      <c r="O7" s="48" t="str">
        <f>CONCATENATE(I7, ". ",E7)</f>
        <v>14202. ما هو عدد الأفراد الذين قدموا مساعدات للأسرة خلال الـ12 شهر الماضية؟</v>
      </c>
      <c r="P7" s="31" t="str">
        <f>CONCATENATE(I7, ". ",B7)</f>
        <v xml:space="preserve">14202. What is the number of people who sent transfers? </v>
      </c>
      <c r="Q7" s="31"/>
      <c r="R7" s="31"/>
      <c r="S7" s="31" t="str">
        <f>CONCATENATE(K15," &amp;&amp;", S5)</f>
        <v>selected(data('q14201'), '1') &amp;&amp;(data('valid_overall') == 1)</v>
      </c>
      <c r="V7" s="31"/>
      <c r="W7" s="31"/>
      <c r="X7" s="31"/>
      <c r="Y7" s="19" t="b">
        <v>1</v>
      </c>
    </row>
    <row r="8" spans="1:30" s="19" customFormat="1" ht="90">
      <c r="A8" s="31"/>
      <c r="B8" s="19" t="s">
        <v>509</v>
      </c>
      <c r="D8" s="31"/>
      <c r="E8" s="173" t="s">
        <v>980</v>
      </c>
      <c r="F8" s="173"/>
      <c r="G8" s="31"/>
      <c r="H8" s="31" t="s">
        <v>510</v>
      </c>
      <c r="I8" s="31"/>
      <c r="J8" s="159"/>
      <c r="L8" s="19" t="s">
        <v>60</v>
      </c>
      <c r="M8" s="16" t="s">
        <v>293</v>
      </c>
      <c r="O8" s="48" t="str">
        <f>E8</f>
        <v xml:space="preserve">  أضف المانحين</v>
      </c>
      <c r="P8" s="31" t="str">
        <f>B8</f>
        <v>Add donors</v>
      </c>
      <c r="S8" s="31" t="str">
        <f>CONCATENATE(K15," &amp;&amp;", S5)</f>
        <v>selected(data('q14201'), '1') &amp;&amp;(data('valid_overall') == 1)</v>
      </c>
      <c r="V8" s="31"/>
      <c r="W8" s="31"/>
      <c r="X8" s="31"/>
      <c r="Y8" s="19" t="b">
        <v>1</v>
      </c>
    </row>
    <row r="9" spans="1:30" s="19" customFormat="1">
      <c r="A9" s="31"/>
      <c r="D9" s="31"/>
      <c r="E9" s="40"/>
      <c r="F9" s="40"/>
      <c r="G9" s="31"/>
      <c r="I9" s="31"/>
      <c r="J9" s="66" t="s">
        <v>20</v>
      </c>
      <c r="M9" s="16"/>
      <c r="O9" s="48"/>
      <c r="P9" s="31"/>
      <c r="V9" s="31"/>
      <c r="W9" s="31"/>
      <c r="X9" s="31"/>
    </row>
    <row r="10" spans="1:30" s="19" customFormat="1" ht="30">
      <c r="A10" s="64"/>
      <c r="B10" s="31" t="s">
        <v>511</v>
      </c>
      <c r="C10" s="31"/>
      <c r="D10" s="64"/>
      <c r="E10" s="40" t="s">
        <v>981</v>
      </c>
      <c r="F10" s="40"/>
      <c r="G10" s="64"/>
      <c r="H10" s="31" t="s">
        <v>510</v>
      </c>
      <c r="I10" s="31"/>
      <c r="J10" s="66"/>
      <c r="L10" s="19" t="s">
        <v>60</v>
      </c>
      <c r="M10" s="16" t="s">
        <v>294</v>
      </c>
      <c r="O10" s="48" t="str">
        <f>E10</f>
        <v>تعديل بيانات المانحين</v>
      </c>
      <c r="P10" s="31" t="str">
        <f>B10</f>
        <v>Edit donors</v>
      </c>
      <c r="Q10" s="31"/>
      <c r="R10" s="31"/>
      <c r="S10" s="31" t="str">
        <f>CONCATENATE(K15," &amp;&amp;", S5)</f>
        <v>selected(data('q14201'), '1') &amp;&amp;(data('valid_overall') == 1)</v>
      </c>
      <c r="V10" s="31"/>
      <c r="W10" s="31"/>
      <c r="X10" s="31"/>
      <c r="Y10" s="19" t="b">
        <v>1</v>
      </c>
      <c r="Z10" s="19" t="b">
        <v>1</v>
      </c>
      <c r="AA10" s="19" t="b">
        <v>1</v>
      </c>
    </row>
    <row r="11" spans="1:30" s="18" customFormat="1">
      <c r="A11" s="30"/>
      <c r="B11" s="131"/>
      <c r="C11" s="131"/>
      <c r="D11" s="31"/>
      <c r="E11" s="172"/>
      <c r="F11" s="172"/>
      <c r="G11" s="129"/>
      <c r="H11" s="129"/>
      <c r="I11" s="30"/>
      <c r="L11" s="174" t="s">
        <v>376</v>
      </c>
      <c r="M11" s="169" t="s">
        <v>517</v>
      </c>
      <c r="N11" s="174" t="s">
        <v>519</v>
      </c>
      <c r="O11" s="48"/>
      <c r="P11" s="127"/>
      <c r="Q11" s="127"/>
      <c r="R11" s="127"/>
      <c r="S11" s="19"/>
      <c r="V11" s="30"/>
      <c r="W11" s="31"/>
      <c r="X11" s="31"/>
      <c r="Y11" s="18" t="b">
        <v>1</v>
      </c>
    </row>
    <row r="12" spans="1:30" s="18" customFormat="1">
      <c r="A12" s="30"/>
      <c r="B12" s="131"/>
      <c r="C12" s="131"/>
      <c r="D12" s="31"/>
      <c r="E12" s="172"/>
      <c r="F12" s="172"/>
      <c r="G12" s="129"/>
      <c r="H12" s="129"/>
      <c r="I12" s="30"/>
      <c r="L12" s="174" t="s">
        <v>376</v>
      </c>
      <c r="M12" s="169" t="s">
        <v>518</v>
      </c>
      <c r="N12" s="174" t="s">
        <v>520</v>
      </c>
      <c r="O12" s="48"/>
      <c r="P12" s="127"/>
      <c r="Q12" s="127"/>
      <c r="R12" s="127"/>
      <c r="S12" s="30"/>
      <c r="V12" s="30"/>
      <c r="W12" s="31"/>
      <c r="X12" s="31"/>
      <c r="Y12" s="18" t="b">
        <v>1</v>
      </c>
    </row>
    <row r="13" spans="1:30" s="18" customFormat="1">
      <c r="A13" s="30"/>
      <c r="B13" s="131"/>
      <c r="C13" s="131"/>
      <c r="D13" s="31"/>
      <c r="E13" s="172"/>
      <c r="F13" s="172"/>
      <c r="G13" s="129"/>
      <c r="H13" s="129"/>
      <c r="I13" s="30"/>
      <c r="J13" s="140" t="s">
        <v>21</v>
      </c>
      <c r="L13" s="174"/>
      <c r="M13" s="169"/>
      <c r="N13" s="174"/>
      <c r="O13" s="48"/>
      <c r="P13" s="127"/>
      <c r="Q13" s="127"/>
      <c r="R13" s="127"/>
      <c r="S13" s="30"/>
      <c r="V13" s="30"/>
      <c r="W13" s="31"/>
      <c r="X13" s="31"/>
    </row>
    <row r="14" spans="1:30" s="18" customFormat="1">
      <c r="A14" s="30"/>
      <c r="B14" s="131"/>
      <c r="C14" s="131"/>
      <c r="D14" s="31"/>
      <c r="E14" s="172"/>
      <c r="F14" s="172"/>
      <c r="G14" s="129"/>
      <c r="H14" s="129"/>
      <c r="I14" s="30"/>
      <c r="J14" s="21" t="s">
        <v>24</v>
      </c>
      <c r="L14" s="174"/>
      <c r="M14" s="169"/>
      <c r="N14" s="174"/>
      <c r="O14" s="48"/>
      <c r="P14" s="127"/>
      <c r="Q14" s="127"/>
      <c r="R14" s="127"/>
      <c r="S14" s="30"/>
      <c r="V14" s="30"/>
      <c r="W14" s="31"/>
      <c r="X14" s="31"/>
    </row>
    <row r="15" spans="1:30" s="18" customFormat="1">
      <c r="A15" s="30"/>
      <c r="B15" s="131"/>
      <c r="C15" s="131"/>
      <c r="D15" s="31"/>
      <c r="E15" s="172"/>
      <c r="F15" s="172"/>
      <c r="G15" s="129"/>
      <c r="H15" s="129"/>
      <c r="I15" s="30"/>
      <c r="J15" s="21" t="s">
        <v>51</v>
      </c>
      <c r="K15" s="18" t="str">
        <f>CONCATENATE("selected(data('",N5,"'), '1')")</f>
        <v>selected(data('q14201'), '1')</v>
      </c>
      <c r="L15" s="174"/>
      <c r="M15" s="169"/>
      <c r="N15" s="174"/>
      <c r="O15" s="48"/>
      <c r="P15" s="127"/>
      <c r="Q15" s="127"/>
      <c r="R15" s="127"/>
      <c r="S15" s="30"/>
      <c r="V15" s="30"/>
      <c r="W15" s="31"/>
      <c r="X15" s="31"/>
    </row>
    <row r="16" spans="1:30" s="18" customFormat="1">
      <c r="A16" s="30"/>
      <c r="B16" s="131"/>
      <c r="C16" s="131"/>
      <c r="D16" s="31"/>
      <c r="E16" s="172"/>
      <c r="F16" s="172"/>
      <c r="G16" s="129"/>
      <c r="H16" s="129"/>
      <c r="I16" s="30"/>
      <c r="J16" s="140" t="s">
        <v>20</v>
      </c>
      <c r="L16" s="174"/>
      <c r="M16" s="169"/>
      <c r="N16" s="174"/>
      <c r="O16" s="48"/>
      <c r="P16" s="127"/>
      <c r="Q16" s="127"/>
      <c r="R16" s="127"/>
      <c r="S16" s="30"/>
      <c r="V16" s="30"/>
      <c r="W16" s="30"/>
      <c r="X16" s="30"/>
    </row>
    <row r="17" spans="1:25" s="18" customFormat="1" ht="210">
      <c r="A17" s="30"/>
      <c r="B17" s="131" t="str">
        <f>CONCATENATE("You stated there were {{data.",N7, "}} donors. You started {{data.",N11,"}} donors and finished {{data.",N12,"}}.")</f>
        <v>You stated there were {{data.q14202}} donors. You started {{data.zdonor_count_1}} donors and finished {{data.zdonor_count_2}}.</v>
      </c>
      <c r="C17" s="131"/>
      <c r="D17" s="31"/>
      <c r="E17" s="295" t="str">
        <f>CONCATENATE("لقد ذكرت أن عدد المانحين: "," {{data.",N7, "}}","   . لقد بدأت بالعدد:  "," {{data.",N11,"}} ", "   وانتهيت بالعدد: ","  {{data.",N12,"}}.")</f>
        <v>لقد ذكرت أن عدد المانحين:  {{data.q14202}}   . لقد بدأت بالعدد:   {{data.zdonor_count_1}}    وانتهيت بالعدد:   {{data.zdonor_count_2}}.</v>
      </c>
      <c r="F17" s="295"/>
      <c r="G17" s="129"/>
      <c r="H17" s="129"/>
      <c r="I17" s="30"/>
      <c r="J17" s="140"/>
      <c r="L17" s="174" t="s">
        <v>22</v>
      </c>
      <c r="M17" s="169"/>
      <c r="N17" s="174"/>
      <c r="O17" s="48" t="str">
        <f>E17</f>
        <v>لقد ذكرت أن عدد المانحين:  {{data.q14202}}   . لقد بدأت بالعدد:   {{data.zdonor_count_1}}    وانتهيت بالعدد:   {{data.zdonor_count_2}}.</v>
      </c>
      <c r="P17" s="127" t="str">
        <f>B17</f>
        <v>You stated there were {{data.q14202}} donors. You started {{data.zdonor_count_1}} donors and finished {{data.zdonor_count_2}}.</v>
      </c>
      <c r="Q17" s="127"/>
      <c r="R17" s="127"/>
      <c r="S17" s="30"/>
      <c r="V17" s="30"/>
      <c r="W17" s="30"/>
      <c r="X17" s="30"/>
      <c r="Y17" s="18" t="b">
        <v>1</v>
      </c>
    </row>
    <row r="18" spans="1:25" s="18" customFormat="1" ht="330">
      <c r="A18" s="30"/>
      <c r="B18" s="131"/>
      <c r="C18" s="48" t="str">
        <f>CONCATENATE("Constraints: ", X18)</f>
        <v>Constraints: Need to complete all donors</v>
      </c>
      <c r="D18" s="31"/>
      <c r="F18" s="48" t="str">
        <f xml:space="preserve"> CONCATENATE("Constraints: ",W18)</f>
        <v>Constraints: تحتاج إلى إكمال جميع  المسافر مانحين</v>
      </c>
      <c r="G18" s="129"/>
      <c r="H18" s="129"/>
      <c r="I18" s="30"/>
      <c r="J18" s="140"/>
      <c r="L18" s="434" t="s">
        <v>18</v>
      </c>
      <c r="M18" s="71" t="s">
        <v>1594</v>
      </c>
      <c r="N18" s="174" t="s">
        <v>685</v>
      </c>
      <c r="O18" s="48"/>
      <c r="P18" s="127"/>
      <c r="Q18" s="127"/>
      <c r="R18" s="127"/>
      <c r="S18" s="30" t="str">
        <f>CONCATENATE(K15," &amp;&amp;", S5)</f>
        <v>selected(data('q14201'), '1') &amp;&amp;(data('valid_overall') == 1)</v>
      </c>
      <c r="V18" s="30" t="str">
        <f>CONCATENATE("data('valid_overall') == 0 || selected(data('",N5,"'), '2') || ((data('",N11,"') == data('",N12,"')) &amp;&amp; (data('",N11,"') == data('",N7,"')) &amp;&amp; (data('",N7,"') == data('",N12,"')))")</f>
        <v>data('valid_overall') == 0 || selected(data('q14201'), '2') || ((data('zdonor_count_1') == data('zdonor_count_2')) &amp;&amp; (data('zdonor_count_1') == data('q14202')) &amp;&amp; (data('q14202') == data('zdonor_count_2')))</v>
      </c>
      <c r="W18" s="30" t="s">
        <v>530</v>
      </c>
      <c r="X18" s="30" t="s">
        <v>529</v>
      </c>
      <c r="Y18" s="18" t="b">
        <v>1</v>
      </c>
    </row>
    <row r="19" spans="1:25" s="19" customFormat="1" ht="15.75">
      <c r="A19" s="30"/>
      <c r="B19" s="129"/>
      <c r="C19" s="129"/>
      <c r="D19" s="31"/>
      <c r="E19" s="172"/>
      <c r="F19" s="172"/>
      <c r="G19" s="129"/>
      <c r="H19" s="129"/>
      <c r="I19" s="31"/>
      <c r="J19" s="140" t="s">
        <v>21</v>
      </c>
      <c r="M19" s="16"/>
      <c r="O19" s="48"/>
      <c r="P19" s="31"/>
      <c r="Q19" s="31"/>
      <c r="R19" s="31"/>
      <c r="S19" s="31"/>
      <c r="V19" s="31"/>
      <c r="W19" s="30"/>
      <c r="X19" s="30"/>
      <c r="Y19" s="157"/>
    </row>
    <row r="20" spans="1:25" s="19" customFormat="1">
      <c r="A20" s="64"/>
      <c r="B20" s="64"/>
      <c r="C20" s="64"/>
      <c r="D20" s="64"/>
      <c r="E20" s="40"/>
      <c r="F20" s="40"/>
      <c r="G20" s="64"/>
      <c r="H20" s="64"/>
      <c r="J20" s="19" t="s">
        <v>24</v>
      </c>
      <c r="O20" s="48"/>
      <c r="P20" s="31"/>
      <c r="V20" s="31"/>
      <c r="W20" s="30"/>
      <c r="X20" s="30"/>
    </row>
    <row r="21" spans="1:25" s="64" customFormat="1">
      <c r="E21" s="40"/>
      <c r="F21" s="40"/>
      <c r="O21" s="48"/>
      <c r="P21" s="31"/>
      <c r="Q21" s="31"/>
      <c r="R21" s="31"/>
      <c r="V21" s="31"/>
      <c r="W21" s="30"/>
      <c r="X21" s="30"/>
    </row>
  </sheetData>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6"/>
  <sheetViews>
    <sheetView topLeftCell="I1" zoomScale="80" zoomScaleNormal="80" zoomScalePageLayoutView="80" workbookViewId="0">
      <pane ySplit="2" topLeftCell="A103" activePane="bottomLeft" state="frozen"/>
      <selection pane="bottomLeft" activeCell="V116" sqref="V116"/>
    </sheetView>
  </sheetViews>
  <sheetFormatPr defaultColWidth="8.85546875" defaultRowHeight="15"/>
  <cols>
    <col min="1" max="1" width="16.140625" style="45" bestFit="1" customWidth="1"/>
    <col min="2" max="3" width="21.42578125" style="117" customWidth="1"/>
    <col min="4" max="4" width="14.85546875" style="175" customWidth="1"/>
    <col min="5" max="6" width="25.85546875" style="117" customWidth="1"/>
    <col min="7" max="7" width="14.85546875" style="45" customWidth="1"/>
    <col min="8" max="8" width="15" style="117" bestFit="1" customWidth="1"/>
    <col min="9" max="9" width="10.42578125" style="45" bestFit="1" customWidth="1"/>
    <col min="10" max="10" width="12.42578125" style="45" bestFit="1" customWidth="1"/>
    <col min="11" max="11" width="12.42578125" style="45" customWidth="1"/>
    <col min="12" max="12" width="21.140625" style="45" bestFit="1" customWidth="1"/>
    <col min="13" max="13" width="23.42578125" style="45" bestFit="1" customWidth="1"/>
    <col min="14" max="14" width="13.42578125" style="45" bestFit="1" customWidth="1"/>
    <col min="15" max="15" width="24.42578125" style="312" customWidth="1"/>
    <col min="16" max="18" width="24.42578125" style="117" customWidth="1"/>
    <col min="19" max="19" width="33.42578125" style="117" customWidth="1"/>
    <col min="20" max="20" width="11.42578125" style="117" bestFit="1" customWidth="1"/>
    <col min="21" max="21" width="12.140625" style="45" bestFit="1" customWidth="1"/>
    <col min="22" max="22" width="35" style="45" customWidth="1"/>
    <col min="23" max="24" width="28.28515625" style="117" customWidth="1"/>
    <col min="25" max="25" width="16.42578125" style="45" bestFit="1" customWidth="1"/>
    <col min="26" max="26" width="8.85546875" style="45"/>
    <col min="27" max="27" width="24.140625" style="45" customWidth="1"/>
    <col min="28" max="28" width="11.140625" style="45" customWidth="1"/>
    <col min="29" max="29" width="17.42578125" style="45" customWidth="1"/>
    <col min="30" max="30" width="14.42578125" style="45" customWidth="1"/>
    <col min="31" max="16384" width="8.85546875" style="45"/>
  </cols>
  <sheetData>
    <row r="1" spans="1:27" s="332" customFormat="1" ht="26.25">
      <c r="A1" s="332" t="s">
        <v>5</v>
      </c>
      <c r="B1" s="94" t="s">
        <v>5</v>
      </c>
      <c r="C1" s="94" t="s">
        <v>5</v>
      </c>
      <c r="D1" s="94" t="s">
        <v>5</v>
      </c>
      <c r="E1" s="94" t="s">
        <v>5</v>
      </c>
      <c r="F1" s="94" t="s">
        <v>5</v>
      </c>
      <c r="G1" s="94" t="s">
        <v>5</v>
      </c>
      <c r="H1" s="94" t="s">
        <v>5</v>
      </c>
      <c r="I1" s="332" t="s">
        <v>5</v>
      </c>
      <c r="J1" s="334" t="s">
        <v>0</v>
      </c>
      <c r="K1" s="334" t="s">
        <v>1</v>
      </c>
      <c r="L1" s="332" t="s">
        <v>2</v>
      </c>
      <c r="M1" s="332" t="s">
        <v>3</v>
      </c>
      <c r="N1" s="94" t="s">
        <v>4</v>
      </c>
      <c r="O1" s="94" t="s">
        <v>1282</v>
      </c>
      <c r="P1" s="94" t="s">
        <v>1283</v>
      </c>
      <c r="Q1" s="62" t="s">
        <v>1286</v>
      </c>
      <c r="R1" s="62" t="s">
        <v>1287</v>
      </c>
      <c r="S1" s="168" t="s">
        <v>7</v>
      </c>
      <c r="T1" s="332" t="s">
        <v>47</v>
      </c>
      <c r="U1" s="332" t="s">
        <v>148</v>
      </c>
      <c r="V1" s="332" t="s">
        <v>25</v>
      </c>
      <c r="W1" s="52" t="s">
        <v>1288</v>
      </c>
      <c r="X1" s="52" t="s">
        <v>1289</v>
      </c>
      <c r="Y1" s="332" t="s">
        <v>6</v>
      </c>
      <c r="Z1" s="160" t="s">
        <v>374</v>
      </c>
      <c r="AA1" s="160" t="s">
        <v>375</v>
      </c>
    </row>
    <row r="2" spans="1:27" s="15" customFormat="1" ht="30">
      <c r="A2" s="102" t="s">
        <v>353</v>
      </c>
      <c r="B2" s="95" t="s">
        <v>354</v>
      </c>
      <c r="C2" s="102" t="s">
        <v>1187</v>
      </c>
      <c r="D2" s="95" t="s">
        <v>358</v>
      </c>
      <c r="E2" s="95" t="s">
        <v>355</v>
      </c>
      <c r="F2" s="102" t="s">
        <v>1186</v>
      </c>
      <c r="G2" s="102" t="s">
        <v>357</v>
      </c>
      <c r="H2" s="74" t="s">
        <v>356</v>
      </c>
      <c r="I2" s="74" t="s">
        <v>426</v>
      </c>
      <c r="O2" s="345"/>
      <c r="P2" s="117"/>
      <c r="Q2" s="168"/>
      <c r="R2" s="168"/>
      <c r="T2" s="168"/>
      <c r="W2" s="168"/>
      <c r="X2" s="168"/>
    </row>
    <row r="3" spans="1:27" s="15" customFormat="1">
      <c r="A3" s="104" t="s">
        <v>364</v>
      </c>
      <c r="B3" s="104" t="s">
        <v>365</v>
      </c>
      <c r="C3" s="104" t="s">
        <v>365</v>
      </c>
      <c r="D3" s="104" t="s">
        <v>364</v>
      </c>
      <c r="E3" s="104" t="s">
        <v>365</v>
      </c>
      <c r="F3" s="104" t="s">
        <v>365</v>
      </c>
      <c r="G3" s="104" t="s">
        <v>364</v>
      </c>
      <c r="H3" s="223" t="s">
        <v>364</v>
      </c>
      <c r="I3" s="223" t="s">
        <v>364</v>
      </c>
      <c r="O3" s="345"/>
      <c r="P3" s="117"/>
      <c r="Q3" s="168"/>
      <c r="R3" s="168"/>
      <c r="S3" s="168"/>
      <c r="T3" s="168"/>
      <c r="W3" s="168"/>
      <c r="X3" s="168"/>
    </row>
    <row r="4" spans="1:27" s="54" customFormat="1" ht="30">
      <c r="B4" s="117" t="s">
        <v>284</v>
      </c>
      <c r="C4" s="117"/>
      <c r="D4" s="175"/>
      <c r="E4" s="117" t="s">
        <v>959</v>
      </c>
      <c r="F4" s="117"/>
      <c r="H4" s="117"/>
      <c r="L4" s="54" t="s">
        <v>22</v>
      </c>
      <c r="O4" s="312" t="str">
        <f>E4</f>
        <v xml:space="preserve"> 14.3 مصادر أخرى للدخل </v>
      </c>
      <c r="P4" s="117" t="str">
        <f>B4</f>
        <v>14.3 Other sources of income</v>
      </c>
      <c r="Q4" s="117"/>
      <c r="R4" s="117"/>
      <c r="S4" s="117"/>
      <c r="T4" s="117"/>
      <c r="W4" s="117"/>
      <c r="X4" s="117"/>
    </row>
    <row r="5" spans="1:27" s="54" customFormat="1">
      <c r="B5" s="117"/>
      <c r="C5" s="117"/>
      <c r="D5" s="175"/>
      <c r="E5" s="117"/>
      <c r="F5" s="117"/>
      <c r="H5" s="117"/>
      <c r="J5" s="54" t="s">
        <v>20</v>
      </c>
      <c r="O5" s="312"/>
      <c r="P5" s="117"/>
      <c r="Q5" s="117"/>
      <c r="R5" s="117"/>
      <c r="S5" s="117"/>
      <c r="T5" s="117"/>
      <c r="W5" s="117"/>
      <c r="X5" s="117"/>
    </row>
    <row r="6" spans="1:27" s="54" customFormat="1" ht="165">
      <c r="A6" s="45" t="s">
        <v>531</v>
      </c>
      <c r="B6" s="117" t="s">
        <v>532</v>
      </c>
      <c r="C6" s="117" t="str">
        <f>CONCATENATE("Hints:", "Value in pounds: (*If don't know, write 99998. 
If the individual does not want to answer, first ask for an approximate amount. If the individual is unwilling to give an approximate amount, use 99996.)")</f>
        <v>Hints:Value in pounds: (*If don't know, write 99998. 
If the individual does not want to answer, first ask for an approximate amount. If the individual is unwilling to give an approximate amount, use 99996.)</v>
      </c>
      <c r="D6" s="175" t="s">
        <v>533</v>
      </c>
      <c r="E6" s="296" t="s">
        <v>982</v>
      </c>
      <c r="F6" s="117" t="s">
        <v>1190</v>
      </c>
      <c r="G6" s="54" t="s">
        <v>534</v>
      </c>
      <c r="H6" s="117" t="s">
        <v>537</v>
      </c>
      <c r="I6" s="54">
        <v>14301</v>
      </c>
      <c r="L6" s="117"/>
      <c r="O6" s="312"/>
      <c r="P6" s="117"/>
      <c r="Q6" s="117"/>
      <c r="R6" s="117"/>
      <c r="S6" s="117"/>
      <c r="T6" s="117"/>
      <c r="W6" s="117"/>
      <c r="X6" s="117"/>
    </row>
    <row r="7" spans="1:27" s="54" customFormat="1" ht="255">
      <c r="A7" s="45" t="s">
        <v>536</v>
      </c>
      <c r="B7" s="117" t="s">
        <v>535</v>
      </c>
      <c r="C7" s="117"/>
      <c r="D7" s="175"/>
      <c r="E7" s="296" t="s">
        <v>983</v>
      </c>
      <c r="F7" s="296"/>
      <c r="H7" s="117" t="s">
        <v>553</v>
      </c>
      <c r="I7" s="54">
        <f>I6+1</f>
        <v>14302</v>
      </c>
      <c r="O7" s="312"/>
      <c r="P7" s="117"/>
      <c r="Q7" s="117"/>
      <c r="R7" s="117"/>
      <c r="S7" s="117"/>
      <c r="T7" s="117"/>
      <c r="W7" s="117"/>
      <c r="X7" s="117"/>
    </row>
    <row r="8" spans="1:27" s="54" customFormat="1" ht="45">
      <c r="A8" s="54" t="s">
        <v>538</v>
      </c>
      <c r="B8" s="117" t="s">
        <v>586</v>
      </c>
      <c r="C8" s="117"/>
      <c r="D8" s="175" t="s">
        <v>533</v>
      </c>
      <c r="E8" s="117" t="s">
        <v>984</v>
      </c>
      <c r="F8" s="117"/>
      <c r="G8" s="54" t="s">
        <v>534</v>
      </c>
      <c r="H8" s="117"/>
      <c r="I8" s="54">
        <f>I7+1</f>
        <v>14303</v>
      </c>
      <c r="O8" s="312"/>
      <c r="P8" s="117"/>
      <c r="Q8" s="117"/>
      <c r="R8" s="117"/>
      <c r="S8" s="117"/>
      <c r="T8" s="117"/>
      <c r="W8" s="117"/>
      <c r="X8" s="117"/>
    </row>
    <row r="9" spans="1:27" s="54" customFormat="1" ht="45">
      <c r="A9" s="54" t="s">
        <v>540</v>
      </c>
      <c r="B9" s="117" t="s">
        <v>539</v>
      </c>
      <c r="C9" s="117"/>
      <c r="D9" s="175"/>
      <c r="E9" s="117" t="s">
        <v>985</v>
      </c>
      <c r="F9" s="117"/>
      <c r="H9" s="117" t="s">
        <v>409</v>
      </c>
      <c r="I9" s="54">
        <f>I8+1</f>
        <v>14304</v>
      </c>
      <c r="O9" s="312"/>
      <c r="P9" s="117"/>
      <c r="Q9" s="117"/>
      <c r="R9" s="117"/>
      <c r="S9" s="117"/>
      <c r="T9" s="117"/>
      <c r="W9" s="117"/>
      <c r="X9" s="117"/>
    </row>
    <row r="10" spans="1:27" s="54" customFormat="1" ht="45">
      <c r="A10" s="54" t="s">
        <v>541</v>
      </c>
      <c r="B10" s="117" t="s">
        <v>542</v>
      </c>
      <c r="C10" s="117"/>
      <c r="D10" s="175" t="s">
        <v>533</v>
      </c>
      <c r="E10" s="117" t="s">
        <v>986</v>
      </c>
      <c r="F10" s="117"/>
      <c r="G10" s="54" t="s">
        <v>534</v>
      </c>
      <c r="H10" s="117"/>
      <c r="I10" s="54">
        <f>I9+1</f>
        <v>14305</v>
      </c>
      <c r="O10" s="312"/>
      <c r="P10" s="117"/>
      <c r="Q10" s="117"/>
      <c r="R10" s="117"/>
      <c r="S10" s="117"/>
      <c r="T10" s="117"/>
      <c r="W10" s="117"/>
      <c r="X10" s="117"/>
    </row>
    <row r="11" spans="1:27" s="54" customFormat="1" ht="45">
      <c r="A11" s="54" t="s">
        <v>543</v>
      </c>
      <c r="B11" s="117" t="s">
        <v>545</v>
      </c>
      <c r="C11" s="31" t="s">
        <v>1188</v>
      </c>
      <c r="D11" s="175"/>
      <c r="E11" s="117" t="s">
        <v>987</v>
      </c>
      <c r="F11" s="31" t="s">
        <v>1189</v>
      </c>
      <c r="H11" s="117" t="s">
        <v>409</v>
      </c>
      <c r="I11" s="54">
        <f>I9</f>
        <v>14304</v>
      </c>
      <c r="O11" s="312"/>
      <c r="P11" s="117"/>
      <c r="Q11" s="117"/>
      <c r="R11" s="117"/>
      <c r="S11" s="117"/>
      <c r="T11" s="117"/>
      <c r="W11" s="117"/>
      <c r="X11" s="117"/>
    </row>
    <row r="12" spans="1:27" s="54" customFormat="1" ht="45">
      <c r="A12" s="54" t="s">
        <v>544</v>
      </c>
      <c r="B12" s="117" t="s">
        <v>542</v>
      </c>
      <c r="C12" s="117"/>
      <c r="D12" s="175" t="s">
        <v>533</v>
      </c>
      <c r="E12" s="117" t="s">
        <v>986</v>
      </c>
      <c r="F12" s="117"/>
      <c r="G12" s="54" t="s">
        <v>534</v>
      </c>
      <c r="H12" s="117"/>
      <c r="I12" s="54">
        <f>I10</f>
        <v>14305</v>
      </c>
      <c r="O12" s="312"/>
      <c r="P12" s="117"/>
      <c r="Q12" s="117"/>
      <c r="R12" s="117"/>
      <c r="S12" s="117"/>
      <c r="T12" s="117"/>
      <c r="W12" s="117"/>
      <c r="X12" s="117"/>
    </row>
    <row r="13" spans="1:27" ht="45">
      <c r="A13" s="54" t="s">
        <v>554</v>
      </c>
      <c r="B13" s="117" t="s">
        <v>546</v>
      </c>
      <c r="C13" s="31" t="s">
        <v>1188</v>
      </c>
      <c r="E13" s="117" t="s">
        <v>988</v>
      </c>
      <c r="F13" s="31" t="s">
        <v>1189</v>
      </c>
      <c r="H13" s="117" t="s">
        <v>409</v>
      </c>
      <c r="I13" s="45">
        <f>I11</f>
        <v>14304</v>
      </c>
      <c r="L13" s="54"/>
    </row>
    <row r="14" spans="1:27">
      <c r="A14" s="54"/>
      <c r="L14" s="54"/>
    </row>
    <row r="15" spans="1:27">
      <c r="A15" s="63">
        <f t="shared" ref="A15:A23" si="0">I15</f>
        <v>1</v>
      </c>
      <c r="B15" s="187" t="s">
        <v>436</v>
      </c>
      <c r="C15" s="187"/>
      <c r="D15" s="63"/>
      <c r="E15" s="297" t="s">
        <v>550</v>
      </c>
      <c r="F15" s="297"/>
      <c r="G15" s="187"/>
      <c r="H15" s="187"/>
      <c r="I15" s="63">
        <v>1</v>
      </c>
      <c r="L15" s="54"/>
    </row>
    <row r="16" spans="1:27">
      <c r="A16" s="63">
        <f t="shared" si="0"/>
        <v>2</v>
      </c>
      <c r="B16" s="187" t="s">
        <v>435</v>
      </c>
      <c r="C16" s="187"/>
      <c r="D16" s="63"/>
      <c r="E16" s="298" t="s">
        <v>1384</v>
      </c>
      <c r="F16" s="298"/>
      <c r="G16" s="187"/>
      <c r="H16" s="187"/>
      <c r="I16" s="63">
        <f t="shared" ref="I16:I23" si="1">I15+1</f>
        <v>2</v>
      </c>
      <c r="L16" s="54"/>
    </row>
    <row r="17" spans="1:25">
      <c r="A17" s="63">
        <f t="shared" si="0"/>
        <v>3</v>
      </c>
      <c r="B17" s="187" t="s">
        <v>547</v>
      </c>
      <c r="C17" s="187"/>
      <c r="D17" s="63"/>
      <c r="E17" s="298" t="s">
        <v>1385</v>
      </c>
      <c r="F17" s="298"/>
      <c r="G17" s="187"/>
      <c r="H17" s="187"/>
      <c r="I17" s="63">
        <f t="shared" si="1"/>
        <v>3</v>
      </c>
      <c r="L17" s="54"/>
    </row>
    <row r="18" spans="1:25" ht="60">
      <c r="A18" s="63">
        <f t="shared" si="0"/>
        <v>4</v>
      </c>
      <c r="B18" s="187" t="s">
        <v>434</v>
      </c>
      <c r="C18" s="187"/>
      <c r="D18" s="63"/>
      <c r="E18" s="298" t="s">
        <v>989</v>
      </c>
      <c r="F18" s="298"/>
      <c r="G18" s="187"/>
      <c r="H18" s="187"/>
      <c r="I18" s="63">
        <f t="shared" si="1"/>
        <v>4</v>
      </c>
      <c r="L18" s="54"/>
    </row>
    <row r="19" spans="1:25" ht="45">
      <c r="A19" s="63">
        <f t="shared" si="0"/>
        <v>5</v>
      </c>
      <c r="B19" s="187" t="s">
        <v>433</v>
      </c>
      <c r="C19" s="187"/>
      <c r="D19" s="63"/>
      <c r="E19" s="298" t="s">
        <v>990</v>
      </c>
      <c r="F19" s="298"/>
      <c r="G19" s="187"/>
      <c r="H19" s="187"/>
      <c r="I19" s="63">
        <f t="shared" si="1"/>
        <v>5</v>
      </c>
      <c r="L19" s="54"/>
    </row>
    <row r="20" spans="1:25" ht="30">
      <c r="A20" s="63">
        <f t="shared" si="0"/>
        <v>6</v>
      </c>
      <c r="B20" s="117" t="s">
        <v>432</v>
      </c>
      <c r="D20" s="63"/>
      <c r="E20" s="298" t="s">
        <v>551</v>
      </c>
      <c r="F20" s="298"/>
      <c r="G20" s="187"/>
      <c r="H20" s="187"/>
      <c r="I20" s="63">
        <f t="shared" si="1"/>
        <v>6</v>
      </c>
      <c r="L20" s="54"/>
    </row>
    <row r="21" spans="1:25" ht="45">
      <c r="A21" s="63">
        <f t="shared" si="0"/>
        <v>7</v>
      </c>
      <c r="B21" s="117" t="s">
        <v>548</v>
      </c>
      <c r="D21" s="63"/>
      <c r="E21" s="298" t="s">
        <v>991</v>
      </c>
      <c r="F21" s="298"/>
      <c r="G21" s="187"/>
      <c r="H21" s="187"/>
      <c r="I21" s="63">
        <f t="shared" si="1"/>
        <v>7</v>
      </c>
      <c r="L21" s="54"/>
    </row>
    <row r="22" spans="1:25">
      <c r="A22" s="63">
        <f t="shared" si="0"/>
        <v>8</v>
      </c>
      <c r="B22" s="186" t="s">
        <v>431</v>
      </c>
      <c r="C22" s="186"/>
      <c r="D22" s="100"/>
      <c r="E22" s="432" t="s">
        <v>552</v>
      </c>
      <c r="F22" s="298"/>
      <c r="G22" s="187"/>
      <c r="H22" s="187"/>
      <c r="I22" s="63">
        <f t="shared" si="1"/>
        <v>8</v>
      </c>
      <c r="L22" s="54"/>
    </row>
    <row r="23" spans="1:25">
      <c r="A23" s="63">
        <f t="shared" si="0"/>
        <v>9</v>
      </c>
      <c r="B23" s="187" t="s">
        <v>549</v>
      </c>
      <c r="C23" s="187"/>
      <c r="D23" s="63"/>
      <c r="E23" s="298" t="s">
        <v>992</v>
      </c>
      <c r="F23" s="298"/>
      <c r="G23" s="187"/>
      <c r="H23" s="187"/>
      <c r="I23" s="63">
        <f t="shared" si="1"/>
        <v>9</v>
      </c>
      <c r="L23" s="54"/>
    </row>
    <row r="24" spans="1:25">
      <c r="A24" s="63"/>
      <c r="B24" s="187"/>
      <c r="C24" s="187"/>
      <c r="D24" s="63"/>
      <c r="E24" s="298"/>
      <c r="F24" s="298"/>
      <c r="G24" s="187"/>
      <c r="H24" s="187"/>
      <c r="I24" s="63"/>
      <c r="L24" s="54"/>
    </row>
    <row r="25" spans="1:25" ht="135">
      <c r="A25" s="63"/>
      <c r="C25" s="187"/>
      <c r="D25" s="63"/>
      <c r="E25" s="298"/>
      <c r="F25" s="298"/>
      <c r="G25" s="187"/>
      <c r="H25" s="187" t="s">
        <v>1344</v>
      </c>
      <c r="I25" s="63"/>
      <c r="L25" s="54"/>
    </row>
    <row r="26" spans="1:25" ht="120">
      <c r="D26" s="117"/>
      <c r="G26" s="118"/>
      <c r="L26" s="54" t="s">
        <v>18</v>
      </c>
      <c r="M26" s="45" t="s">
        <v>17</v>
      </c>
      <c r="N26" s="45" t="str">
        <f>CONCATENATE("q",$I$6, "_",$I$15)</f>
        <v>q14301_1</v>
      </c>
      <c r="O26" s="70" t="str">
        <f>CONCATENATE(N26, ". ", SUBSTITUTE($E$6, "[مصدر]",$E$15))</f>
        <v xml:space="preserve">q14301_1. خلال الـ12 شهر الماضية، هل تلقى أي فرد من أفراد الأسرة أي تحويلات من المعاش العادي ؟  
  </v>
      </c>
      <c r="P26" s="85" t="str">
        <f>CONCATENATE(N26, ". ", SUBSTITUTE($B$6, "[source]",$B$15))</f>
        <v>q14301_1. Over the past twelve months, did the household have any family members receive any transfers from Normal pension?</v>
      </c>
      <c r="S26" s="117" t="s">
        <v>587</v>
      </c>
    </row>
    <row r="27" spans="1:25">
      <c r="J27" s="45" t="s">
        <v>21</v>
      </c>
      <c r="L27" s="54"/>
    </row>
    <row r="28" spans="1:25">
      <c r="J28" s="178" t="s">
        <v>23</v>
      </c>
      <c r="K28" s="45" t="str">
        <f>CONCATENATE("selected (data('",N26,"'), '1')")</f>
        <v>selected (data('q14301_1'), '1')</v>
      </c>
      <c r="L28" s="54"/>
    </row>
    <row r="29" spans="1:25">
      <c r="J29" s="44" t="s">
        <v>20</v>
      </c>
      <c r="L29" s="54"/>
    </row>
    <row r="30" spans="1:25" ht="135">
      <c r="J30" s="176"/>
      <c r="L30" s="54" t="s">
        <v>19</v>
      </c>
      <c r="N30" s="45" t="str">
        <f>CONCATENATE("q",$I$7, "_",$I$15)</f>
        <v>q14302_1</v>
      </c>
      <c r="O30" s="70" t="str">
        <f>CONCATENATE(N30, ". ", SUBSTITUTE($E$7, "[مصدر]",$E$15))</f>
        <v xml:space="preserve">q14302_1. ما هو متوسط المبلغ المحول من المعاش العادي  في الشهر (بالجنيه) ؟  
  </v>
      </c>
      <c r="P30" s="85" t="str">
        <f>CONCATENATE(N30, ". ", SUBSTITUTE($B$7, "[source]",$B$15))</f>
        <v>q14302_1. What is its value per month on average Normal pension?</v>
      </c>
      <c r="Q30" s="117" t="s">
        <v>993</v>
      </c>
      <c r="R30" s="117" t="s">
        <v>553</v>
      </c>
      <c r="S30" s="117" t="str">
        <f>CONCATENATE("data('valid_overall') == 1 &amp;&amp; ",K28)</f>
        <v>data('valid_overall') == 1 &amp;&amp; selected (data('q14301_1'), '1')</v>
      </c>
      <c r="Y30" s="45" t="b">
        <v>1</v>
      </c>
    </row>
    <row r="31" spans="1:25" ht="60">
      <c r="J31" s="176"/>
      <c r="L31" s="54" t="s">
        <v>18</v>
      </c>
      <c r="M31" s="45" t="s">
        <v>17</v>
      </c>
      <c r="N31" s="45" t="str">
        <f>CONCATENATE("q",$I$8, "_",$I$15)</f>
        <v>q14303_1</v>
      </c>
      <c r="O31" s="70" t="str">
        <f>CONCATENATE(N31, ". ", SUBSTITUTE($E$8, "[مصدر]",$E$15))</f>
        <v>q14303_1. هل يتلقى شخص معين في الأسرة المعاش العادي؟</v>
      </c>
      <c r="P31" s="85" t="str">
        <f>CONCATENATE(N31, ". ", SUBSTITUTE($B$8, "[source]",$B$15))</f>
        <v xml:space="preserve">q14303_1. Does Normal pension accrue to a specific member of the household? </v>
      </c>
      <c r="S31" s="117" t="str">
        <f>CONCATENATE("data('valid_overall') == 1 &amp;&amp; ",K28)</f>
        <v>data('valid_overall') == 1 &amp;&amp; selected (data('q14301_1'), '1')</v>
      </c>
      <c r="Y31" s="45" t="b">
        <v>1</v>
      </c>
    </row>
    <row r="32" spans="1:25">
      <c r="J32" s="44" t="s">
        <v>21</v>
      </c>
      <c r="L32" s="54"/>
      <c r="O32" s="70"/>
      <c r="P32" s="85"/>
    </row>
    <row r="33" spans="10:25">
      <c r="J33" s="178" t="s">
        <v>24</v>
      </c>
      <c r="L33" s="54"/>
      <c r="O33" s="70"/>
      <c r="P33" s="85"/>
    </row>
    <row r="34" spans="10:25">
      <c r="J34" s="178" t="s">
        <v>23</v>
      </c>
      <c r="K34" s="45" t="str">
        <f>CONCATENATE("selected (data('",N31,"'), '1') &amp;&amp; ",K28)</f>
        <v>selected (data('q14303_1'), '1') &amp;&amp; selected (data('q14301_1'), '1')</v>
      </c>
      <c r="L34" s="54"/>
    </row>
    <row r="35" spans="10:25" ht="51" customHeight="1">
      <c r="J35" s="176"/>
      <c r="L35" s="54" t="s">
        <v>174</v>
      </c>
      <c r="M35" s="45" t="s">
        <v>206</v>
      </c>
      <c r="N35" s="45" t="str">
        <f>CONCATENATE("q",$I$9, "_",$I$15, "a")</f>
        <v>q14304_1a</v>
      </c>
      <c r="O35" s="70" t="str">
        <f>CONCATENATE(N35, ". ", SUBSTITUTE($E$9, "[مصدر]",$E$15))</f>
        <v xml:space="preserve">q14304_1a. من من أفراد الأسرة يتلقى المعاش العادي؟  أول فرد </v>
      </c>
      <c r="P35" s="85" t="str">
        <f>CONCATENATE(N35, ". ", SUBSTITUTE($B$9, "[source]",$B$15))</f>
        <v>q14304_1a. Who receives Normal pension? First member</v>
      </c>
      <c r="S35" s="117" t="str">
        <f>CONCATENATE(K34, "&amp;&amp; data('valid_overall') ==1")</f>
        <v>selected (data('q14303_1'), '1') &amp;&amp; selected (data('q14301_1'), '1')&amp;&amp; data('valid_overall') ==1</v>
      </c>
      <c r="Y35" s="45" t="b">
        <v>1</v>
      </c>
    </row>
    <row r="36" spans="10:25">
      <c r="J36" s="178" t="s">
        <v>24</v>
      </c>
      <c r="L36" s="54"/>
      <c r="O36" s="70"/>
      <c r="P36" s="410"/>
    </row>
    <row r="37" spans="10:25">
      <c r="L37" s="54"/>
      <c r="O37" s="70"/>
      <c r="P37" s="410"/>
    </row>
    <row r="38" spans="10:25">
      <c r="J38" s="178" t="s">
        <v>23</v>
      </c>
      <c r="K38" s="45" t="str">
        <f>K34</f>
        <v>selected (data('q14303_1'), '1') &amp;&amp; selected (data('q14301_1'), '1')</v>
      </c>
      <c r="L38" s="54"/>
      <c r="O38" s="70"/>
      <c r="P38" s="410"/>
    </row>
    <row r="39" spans="10:25">
      <c r="J39" s="44" t="s">
        <v>20</v>
      </c>
      <c r="L39" s="54"/>
      <c r="O39" s="70"/>
      <c r="P39" s="410"/>
    </row>
    <row r="40" spans="10:25" ht="108.95" customHeight="1">
      <c r="L40" s="174" t="s">
        <v>413</v>
      </c>
      <c r="M40" s="169" t="str">
        <f>CONCATENATE(M35,"_line_",N35)</f>
        <v>roster_line_q14304_1a</v>
      </c>
      <c r="N40" s="174" t="str">
        <f>CONCATENATE(N35,"_1")</f>
        <v>q14304_1a_1</v>
      </c>
      <c r="S40" s="117" t="str">
        <f>S35</f>
        <v>selected (data('q14303_1'), '1') &amp;&amp; selected (data('q14301_1'), '1')&amp;&amp; data('valid_overall') ==1</v>
      </c>
      <c r="Y40" s="45" t="b">
        <v>1</v>
      </c>
    </row>
    <row r="41" spans="10:25" ht="45">
      <c r="J41" s="44"/>
      <c r="L41" s="174" t="s">
        <v>18</v>
      </c>
      <c r="M41" s="169" t="s">
        <v>17</v>
      </c>
      <c r="N41" s="45" t="str">
        <f>CONCATENATE("q",$I$10, "_",$I$15, "a")</f>
        <v>q14305_1a</v>
      </c>
      <c r="O41" s="70" t="str">
        <f>CONCATENATE(N41, ". ", SUBSTITUTE($E$10, "[مصدر]",$E$15))</f>
        <v>q14305_1a. هل يتلقى شخص آخر في الأسرة المعاش العادي؟</v>
      </c>
      <c r="P41" s="85" t="str">
        <f>CONCATENATE(N41, ". ", SUBSTITUTE($B$10, "[source]",$B$15))</f>
        <v>q14305_1a. Does another member receive Normal pension?</v>
      </c>
      <c r="S41" s="117" t="str">
        <f>CONCATENATE(K34, "&amp;&amp; data('valid_overall') ==1")</f>
        <v>selected (data('q14303_1'), '1') &amp;&amp; selected (data('q14301_1'), '1')&amp;&amp; data('valid_overall') ==1</v>
      </c>
      <c r="Y41" s="45" t="b">
        <v>1</v>
      </c>
    </row>
    <row r="42" spans="10:25">
      <c r="J42" s="44" t="s">
        <v>21</v>
      </c>
      <c r="L42" s="174"/>
      <c r="M42" s="169"/>
      <c r="N42" s="174"/>
    </row>
    <row r="43" spans="10:25">
      <c r="J43" s="178" t="s">
        <v>24</v>
      </c>
      <c r="L43" s="174"/>
      <c r="M43" s="169"/>
      <c r="N43" s="174"/>
    </row>
    <row r="44" spans="10:25">
      <c r="J44" s="178" t="s">
        <v>23</v>
      </c>
      <c r="K44" s="45" t="str">
        <f>CONCATENATE("selected (data('",N41,"'), '1') &amp;&amp; ",K34)</f>
        <v>selected (data('q14305_1a'), '1') &amp;&amp; selected (data('q14303_1'), '1') &amp;&amp; selected (data('q14301_1'), '1')</v>
      </c>
      <c r="L44" s="54"/>
    </row>
    <row r="45" spans="10:25" ht="75">
      <c r="J45" s="176"/>
      <c r="L45" s="54" t="s">
        <v>174</v>
      </c>
      <c r="M45" s="45" t="s">
        <v>206</v>
      </c>
      <c r="N45" s="45" t="str">
        <f>CONCATENATE("q",$I$9, "_",$I$15, "b")</f>
        <v>q14304_1b</v>
      </c>
      <c r="O45" s="70" t="str">
        <f>CONCATENATE(N45, ". ", SUBSTITUTE($E$11, "[مصدر]",$E$15))</f>
        <v>q14304_1b. من من أفراد الأسرة يتلقى المعاش العادي؟  فرد ثانى</v>
      </c>
      <c r="P45" s="85" t="str">
        <f>CONCATENATE(N45, ". ", SUBSTITUTE($B$11, "[source]",$B$15))</f>
        <v>q14304_1b. Who receives Normal pension? Second member</v>
      </c>
      <c r="S45" s="117" t="str">
        <f>CONCATENATE(K44, "&amp;&amp; data('valid_overall') ==1")</f>
        <v>selected (data('q14305_1a'), '1') &amp;&amp; selected (data('q14303_1'), '1') &amp;&amp; selected (data('q14301_1'), '1')&amp;&amp; data('valid_overall') ==1</v>
      </c>
      <c r="V45" s="31" t="str">
        <f>CONCATENATE("(data('",N40,"') != data('",N49,"')) || selected(data('",N31,"'), '2') || selected(data('",N26,"'), '2') || data('valid_overall') == 0")</f>
        <v>(data('q14304_1a_1') != data('q14304_1b_1')) || selected(data('q14303_1'), '2') || selected(data('q14301_1'), '2') || data('valid_overall') == 0</v>
      </c>
      <c r="W45" s="31" t="s">
        <v>994</v>
      </c>
      <c r="X45" s="31" t="s">
        <v>555</v>
      </c>
      <c r="Y45" s="45" t="b">
        <v>1</v>
      </c>
    </row>
    <row r="46" spans="10:25">
      <c r="J46" s="178" t="s">
        <v>24</v>
      </c>
      <c r="L46" s="54"/>
      <c r="O46" s="70"/>
      <c r="P46" s="410"/>
      <c r="V46" s="31"/>
      <c r="W46" s="31"/>
      <c r="X46" s="31"/>
    </row>
    <row r="47" spans="10:25">
      <c r="J47" s="178" t="s">
        <v>23</v>
      </c>
      <c r="K47" s="45" t="str">
        <f>K44</f>
        <v>selected (data('q14305_1a'), '1') &amp;&amp; selected (data('q14303_1'), '1') &amp;&amp; selected (data('q14301_1'), '1')</v>
      </c>
      <c r="L47" s="54"/>
      <c r="O47" s="70"/>
      <c r="P47" s="410"/>
      <c r="V47" s="31"/>
      <c r="W47" s="31"/>
      <c r="X47" s="31"/>
    </row>
    <row r="48" spans="10:25">
      <c r="J48" s="44" t="s">
        <v>20</v>
      </c>
      <c r="L48" s="54"/>
      <c r="O48" s="70"/>
      <c r="P48" s="410"/>
      <c r="V48" s="31"/>
      <c r="W48" s="31"/>
      <c r="X48" s="31"/>
    </row>
    <row r="49" spans="4:25">
      <c r="L49" s="174" t="s">
        <v>413</v>
      </c>
      <c r="M49" s="169" t="str">
        <f>CONCATENATE(M45,"_line_",N45)</f>
        <v>roster_line_q14304_1b</v>
      </c>
      <c r="N49" s="174" t="str">
        <f>CONCATENATE(N45,"_1")</f>
        <v>q14304_1b_1</v>
      </c>
      <c r="S49" s="117" t="str">
        <f>S45</f>
        <v>selected (data('q14305_1a'), '1') &amp;&amp; selected (data('q14303_1'), '1') &amp;&amp; selected (data('q14301_1'), '1')&amp;&amp; data('valid_overall') ==1</v>
      </c>
      <c r="Y49" s="45" t="b">
        <v>1</v>
      </c>
    </row>
    <row r="50" spans="4:25" ht="45">
      <c r="J50" s="44"/>
      <c r="L50" s="174" t="s">
        <v>18</v>
      </c>
      <c r="M50" s="169" t="s">
        <v>17</v>
      </c>
      <c r="N50" s="45" t="str">
        <f>CONCATENATE("q",$I$10, "_",$I$15, "b")</f>
        <v>q14305_1b</v>
      </c>
      <c r="O50" s="70" t="str">
        <f>CONCATENATE(N50, ". ", SUBSTITUTE($E$12, "[مصدر]",$E$15))</f>
        <v>q14305_1b. هل يتلقى شخص آخر في الأسرة المعاش العادي؟</v>
      </c>
      <c r="P50" s="85" t="str">
        <f>CONCATENATE(N50, ". ", SUBSTITUTE($B$12, "[source]",$B$15))</f>
        <v>q14305_1b. Does another member receive Normal pension?</v>
      </c>
      <c r="S50" s="117" t="str">
        <f>CONCATENATE(K44, "&amp;&amp; data('valid_overall') ==1")</f>
        <v>selected (data('q14305_1a'), '1') &amp;&amp; selected (data('q14303_1'), '1') &amp;&amp; selected (data('q14301_1'), '1')&amp;&amp; data('valid_overall') ==1</v>
      </c>
      <c r="Y50" s="45" t="b">
        <v>1</v>
      </c>
    </row>
    <row r="51" spans="4:25">
      <c r="J51" s="44" t="s">
        <v>21</v>
      </c>
      <c r="L51" s="174"/>
      <c r="M51" s="169"/>
      <c r="O51" s="70"/>
      <c r="P51" s="410"/>
    </row>
    <row r="52" spans="4:25">
      <c r="J52" s="178" t="s">
        <v>24</v>
      </c>
      <c r="L52" s="174"/>
      <c r="M52" s="169"/>
      <c r="N52" s="174"/>
    </row>
    <row r="53" spans="4:25">
      <c r="J53" s="178" t="s">
        <v>23</v>
      </c>
      <c r="K53" s="45" t="str">
        <f>CONCATENATE("selected (data('",N50,"'), '1') &amp;&amp; ",K44)</f>
        <v>selected (data('q14305_1b'), '1') &amp;&amp; selected (data('q14305_1a'), '1') &amp;&amp; selected (data('q14303_1'), '1') &amp;&amp; selected (data('q14301_1'), '1')</v>
      </c>
      <c r="L53" s="174"/>
      <c r="M53" s="169"/>
      <c r="N53" s="174"/>
    </row>
    <row r="54" spans="4:25" ht="165">
      <c r="J54" s="44"/>
      <c r="L54" s="54" t="s">
        <v>174</v>
      </c>
      <c r="M54" s="45" t="s">
        <v>206</v>
      </c>
      <c r="N54" s="45" t="str">
        <f>CONCATENATE("q",$I$9, "_",$I$15, "c")</f>
        <v>q14304_1c</v>
      </c>
      <c r="O54" s="70" t="str">
        <f>CONCATENATE(N54, ". ", SUBSTITUTE($E$13, "[مصدر]",$E$15))</f>
        <v>q14304_1c. من من أفراد الأسرة يتلقى المعاش العادي؟  فرد ثالث</v>
      </c>
      <c r="P54" s="85" t="str">
        <f>CONCATENATE(N54, ". ", SUBSTITUTE($B$13, "[source]",$B$15))</f>
        <v>q14304_1c. Who receives Normal pension? Third member</v>
      </c>
      <c r="S54" s="117" t="str">
        <f>CONCATENATE(K53, "&amp;&amp; data('valid_overall') ==1")</f>
        <v>selected (data('q14305_1b'), '1') &amp;&amp; selected (data('q14305_1a'), '1') &amp;&amp; selected (data('q14303_1'), '1') &amp;&amp; selected (data('q14301_1'), '1')&amp;&amp; data('valid_overall') ==1</v>
      </c>
      <c r="V54" s="31" t="str">
        <f>CONCATENATE("((data('",N49,"') != data('",N40,"')) &amp;&amp; (data('",N59,"') != data('",N40,"')) &amp;&amp; (data('",N49,"') != data('",N59,"')))  || selected(data('",N41,"'), '2')  || selected(data('",N50,"'), '2')  || selected(data('",N31,"'), '2') || selected(data('",N26,"'), '2')  || data('valid_overall') == 0 ")</f>
        <v xml:space="preserve">((data('q14304_1b_1') != data('q14304_1a_1')) &amp;&amp; (data('q14304_1c_1') != data('q14304_1a_1')) &amp;&amp; (data('q14304_1b_1') != data('q14304_1c_1')))  || selected(data('q14305_1a'), '2')  || selected(data('q14305_1b'), '2')  || selected(data('q14303_1'), '2') || selected(data('q14301_1'), '2')  || data('valid_overall') == 0 </v>
      </c>
      <c r="W54" s="31" t="s">
        <v>994</v>
      </c>
      <c r="X54" s="31" t="s">
        <v>555</v>
      </c>
      <c r="Y54" s="45" t="b">
        <v>1</v>
      </c>
    </row>
    <row r="55" spans="4:25">
      <c r="J55" s="178" t="s">
        <v>24</v>
      </c>
      <c r="L55" s="54"/>
      <c r="O55" s="70"/>
      <c r="P55" s="410"/>
      <c r="V55" s="31"/>
      <c r="W55" s="31"/>
      <c r="X55" s="31"/>
    </row>
    <row r="56" spans="4:25">
      <c r="J56" s="44" t="s">
        <v>20</v>
      </c>
      <c r="L56" s="54"/>
      <c r="O56" s="70"/>
      <c r="P56" s="410"/>
      <c r="V56" s="31"/>
      <c r="W56" s="31"/>
      <c r="X56" s="31"/>
    </row>
    <row r="57" spans="4:25">
      <c r="J57" s="178" t="s">
        <v>23</v>
      </c>
      <c r="K57" s="45" t="str">
        <f>K53</f>
        <v>selected (data('q14305_1b'), '1') &amp;&amp; selected (data('q14305_1a'), '1') &amp;&amp; selected (data('q14303_1'), '1') &amp;&amp; selected (data('q14301_1'), '1')</v>
      </c>
      <c r="L57" s="54"/>
      <c r="O57" s="70"/>
      <c r="P57" s="410"/>
      <c r="V57" s="31"/>
      <c r="W57" s="31"/>
      <c r="X57" s="31"/>
    </row>
    <row r="58" spans="4:25">
      <c r="L58" s="54"/>
      <c r="O58" s="70"/>
      <c r="P58" s="410"/>
      <c r="V58" s="31"/>
      <c r="W58" s="31"/>
      <c r="X58" s="31"/>
    </row>
    <row r="59" spans="4:25">
      <c r="J59" s="44"/>
      <c r="L59" s="174" t="s">
        <v>413</v>
      </c>
      <c r="M59" s="169" t="str">
        <f>CONCATENATE(M54,"_line_",N54)</f>
        <v>roster_line_q14304_1c</v>
      </c>
      <c r="N59" s="174" t="str">
        <f>CONCATENATE(N54,"_1")</f>
        <v>q14304_1c_1</v>
      </c>
      <c r="S59" s="117" t="str">
        <f>S54</f>
        <v>selected (data('q14305_1b'), '1') &amp;&amp; selected (data('q14305_1a'), '1') &amp;&amp; selected (data('q14303_1'), '1') &amp;&amp; selected (data('q14301_1'), '1')&amp;&amp; data('valid_overall') ==1</v>
      </c>
      <c r="Y59" s="45" t="b">
        <v>1</v>
      </c>
    </row>
    <row r="60" spans="4:25">
      <c r="J60" s="178" t="s">
        <v>24</v>
      </c>
    </row>
    <row r="62" spans="4:25" ht="120">
      <c r="D62" s="117"/>
      <c r="G62" s="118"/>
      <c r="L62" s="54" t="s">
        <v>18</v>
      </c>
      <c r="M62" s="45" t="s">
        <v>17</v>
      </c>
      <c r="N62" s="45" t="str">
        <f>CONCATENATE("q",$I$6, "_",$I$16)</f>
        <v>q14301_2</v>
      </c>
      <c r="O62" s="70" t="str">
        <f>CONCATENATE(N62, ". ", SUBSTITUTE($E$6, "[مصدر]",$E$16))</f>
        <v xml:space="preserve">q14301_2. خلال الـ12 شهر الماضية، هل تلقى أي فرد من أفراد الأسرة أي تحويلات من برنامج تكافل ؟  
  </v>
      </c>
      <c r="P62" s="410" t="str">
        <f>CONCATENATE(N62, ". ", SUBSTITUTE($B$6, "[source]",$B$16))</f>
        <v>q14301_2. Over the past twelve months, did the household have any family members receive any transfers from Takaful?</v>
      </c>
      <c r="S62" s="117" t="s">
        <v>587</v>
      </c>
    </row>
    <row r="63" spans="4:25">
      <c r="J63" s="45" t="s">
        <v>21</v>
      </c>
      <c r="L63" s="54"/>
    </row>
    <row r="64" spans="4:25">
      <c r="J64" s="178" t="s">
        <v>23</v>
      </c>
      <c r="K64" s="45" t="str">
        <f>CONCATENATE("selected (data('",N62,"'), '1')")</f>
        <v>selected (data('q14301_2'), '1')</v>
      </c>
      <c r="L64" s="54"/>
    </row>
    <row r="65" spans="10:25">
      <c r="J65" s="44" t="s">
        <v>20</v>
      </c>
      <c r="L65" s="54"/>
    </row>
    <row r="66" spans="10:25" ht="135">
      <c r="J66" s="176"/>
      <c r="L66" s="54" t="s">
        <v>19</v>
      </c>
      <c r="N66" s="45" t="str">
        <f>CONCATENATE("q",$I$7, "_",$I$16)</f>
        <v>q14302_2</v>
      </c>
      <c r="O66" s="70" t="str">
        <f>CONCATENATE(N66, ". ", SUBSTITUTE($E$7, "[مصدر]",$E$16))</f>
        <v xml:space="preserve">q14302_2. ما هو متوسط المبلغ المحول من برنامج تكافل  في الشهر (بالجنيه) ؟  
  </v>
      </c>
      <c r="P66" s="410" t="str">
        <f>CONCATENATE(N66, ". ", SUBSTITUTE($B$7, "[source]",$B$16))</f>
        <v>q14302_2. What is its value per month on average Takaful?</v>
      </c>
      <c r="Q66" s="117" t="s">
        <v>993</v>
      </c>
      <c r="R66" s="117" t="s">
        <v>553</v>
      </c>
      <c r="S66" s="117" t="str">
        <f>CONCATENATE("data('valid_overall') == 1 &amp;&amp; ",K64)</f>
        <v>data('valid_overall') == 1 &amp;&amp; selected (data('q14301_2'), '1')</v>
      </c>
      <c r="Y66" s="45" t="b">
        <v>1</v>
      </c>
    </row>
    <row r="67" spans="10:25" ht="60">
      <c r="J67" s="176"/>
      <c r="L67" s="54" t="s">
        <v>18</v>
      </c>
      <c r="M67" s="45" t="s">
        <v>17</v>
      </c>
      <c r="N67" s="45" t="str">
        <f>CONCATENATE("q",$I$8, "_",$I$16)</f>
        <v>q14303_2</v>
      </c>
      <c r="O67" s="70" t="str">
        <f>CONCATENATE(N67, ". ", SUBSTITUTE($E$8, "[مصدر]",$E$16))</f>
        <v>q14303_2. هل يتلقى شخص معين في الأسرة برنامج تكافل؟</v>
      </c>
      <c r="P67" s="410" t="str">
        <f>CONCATENATE(N67, ". ", SUBSTITUTE($B$8, "[source]",$B$16))</f>
        <v xml:space="preserve">q14303_2. Does Takaful accrue to a specific member of the household? </v>
      </c>
      <c r="S67" s="117" t="str">
        <f>CONCATENATE("data('valid_overall') == 1 &amp;&amp; ",K64)</f>
        <v>data('valid_overall') == 1 &amp;&amp; selected (data('q14301_2'), '1')</v>
      </c>
      <c r="Y67" s="45" t="b">
        <v>1</v>
      </c>
    </row>
    <row r="68" spans="10:25">
      <c r="J68" s="44" t="s">
        <v>21</v>
      </c>
      <c r="L68" s="54"/>
      <c r="O68" s="70"/>
      <c r="P68" s="410"/>
    </row>
    <row r="69" spans="10:25">
      <c r="J69" s="178" t="s">
        <v>24</v>
      </c>
      <c r="L69" s="54"/>
      <c r="O69" s="70"/>
      <c r="P69" s="410"/>
    </row>
    <row r="70" spans="10:25">
      <c r="J70" s="178" t="s">
        <v>23</v>
      </c>
      <c r="K70" s="45" t="str">
        <f>CONCATENATE("selected (data('",N67,"'), '1') &amp;&amp; ",K64)</f>
        <v>selected (data('q14303_2'), '1') &amp;&amp; selected (data('q14301_2'), '1')</v>
      </c>
      <c r="L70" s="54"/>
    </row>
    <row r="71" spans="10:25" ht="45">
      <c r="J71" s="176"/>
      <c r="L71" s="54" t="s">
        <v>174</v>
      </c>
      <c r="M71" s="45" t="s">
        <v>206</v>
      </c>
      <c r="N71" s="45" t="str">
        <f>CONCATENATE("q",$I$9, "_",$I$16, "a")</f>
        <v>q14304_2a</v>
      </c>
      <c r="O71" s="70" t="str">
        <f>CONCATENATE(N71, ". ", SUBSTITUTE($E$9, "[مصدر]",$E$16))</f>
        <v xml:space="preserve">q14304_2a. من من أفراد الأسرة يتلقى برنامج تكافل؟  أول فرد </v>
      </c>
      <c r="P71" s="410" t="str">
        <f>CONCATENATE(N71, ". ", SUBSTITUTE($B$9, "[source]",$B$16))</f>
        <v>q14304_2a. Who receives Takaful? First member</v>
      </c>
      <c r="S71" s="117" t="str">
        <f>CONCATENATE(K70, "&amp;&amp; data('valid_overall') ==1")</f>
        <v>selected (data('q14303_2'), '1') &amp;&amp; selected (data('q14301_2'), '1')&amp;&amp; data('valid_overall') ==1</v>
      </c>
      <c r="Y71" s="45" t="b">
        <v>1</v>
      </c>
    </row>
    <row r="72" spans="10:25">
      <c r="J72" s="178" t="s">
        <v>24</v>
      </c>
      <c r="L72" s="54"/>
      <c r="O72" s="70"/>
      <c r="P72" s="410"/>
    </row>
    <row r="73" spans="10:25">
      <c r="L73" s="54"/>
      <c r="O73" s="70"/>
      <c r="P73" s="410"/>
    </row>
    <row r="74" spans="10:25">
      <c r="J74" s="178" t="s">
        <v>23</v>
      </c>
      <c r="K74" s="45" t="str">
        <f>K70</f>
        <v>selected (data('q14303_2'), '1') &amp;&amp; selected (data('q14301_2'), '1')</v>
      </c>
      <c r="L74" s="54"/>
      <c r="O74" s="70"/>
      <c r="P74" s="410"/>
    </row>
    <row r="75" spans="10:25">
      <c r="J75" s="44" t="s">
        <v>20</v>
      </c>
      <c r="L75" s="54"/>
      <c r="O75" s="70"/>
      <c r="P75" s="410"/>
    </row>
    <row r="76" spans="10:25">
      <c r="L76" s="174" t="s">
        <v>413</v>
      </c>
      <c r="M76" s="169" t="str">
        <f>CONCATENATE(M71,"_line_",N71)</f>
        <v>roster_line_q14304_2a</v>
      </c>
      <c r="N76" s="174" t="str">
        <f>CONCATENATE(N71,"_1")</f>
        <v>q14304_2a_1</v>
      </c>
      <c r="S76" s="117" t="str">
        <f>S71</f>
        <v>selected (data('q14303_2'), '1') &amp;&amp; selected (data('q14301_2'), '1')&amp;&amp; data('valid_overall') ==1</v>
      </c>
      <c r="Y76" s="45" t="b">
        <v>1</v>
      </c>
    </row>
    <row r="77" spans="10:25" ht="30">
      <c r="J77" s="44"/>
      <c r="L77" s="174" t="s">
        <v>18</v>
      </c>
      <c r="M77" s="169" t="s">
        <v>17</v>
      </c>
      <c r="N77" s="45" t="str">
        <f>CONCATENATE("q",$I$10, "_",$I$16, "a")</f>
        <v>q14305_2a</v>
      </c>
      <c r="O77" s="70" t="str">
        <f>CONCATENATE(N77, ". ", SUBSTITUTE($E$10, "[مصدر]",$E$16))</f>
        <v>q14305_2a. هل يتلقى شخص آخر في الأسرة برنامج تكافل؟</v>
      </c>
      <c r="P77" s="410" t="str">
        <f>CONCATENATE(N77, ". ", SUBSTITUTE($B$10, "[source]",$B$16))</f>
        <v>q14305_2a. Does another member receive Takaful?</v>
      </c>
      <c r="S77" s="117" t="str">
        <f>CONCATENATE(K70, "&amp;&amp; data('valid_overall') ==1")</f>
        <v>selected (data('q14303_2'), '1') &amp;&amp; selected (data('q14301_2'), '1')&amp;&amp; data('valid_overall') ==1</v>
      </c>
      <c r="Y77" s="45" t="b">
        <v>1</v>
      </c>
    </row>
    <row r="78" spans="10:25">
      <c r="J78" s="44" t="s">
        <v>21</v>
      </c>
      <c r="L78" s="174"/>
      <c r="M78" s="169"/>
      <c r="N78" s="174"/>
    </row>
    <row r="79" spans="10:25">
      <c r="J79" s="178" t="s">
        <v>24</v>
      </c>
      <c r="L79" s="174"/>
      <c r="M79" s="169"/>
      <c r="N79" s="174"/>
    </row>
    <row r="80" spans="10:25">
      <c r="J80" s="178" t="s">
        <v>23</v>
      </c>
      <c r="K80" s="45" t="str">
        <f>CONCATENATE("selected (data('",N77,"'), '1') &amp;&amp; ",K70)</f>
        <v>selected (data('q14305_2a'), '1') &amp;&amp; selected (data('q14303_2'), '1') &amp;&amp; selected (data('q14301_2'), '1')</v>
      </c>
      <c r="L80" s="54"/>
    </row>
    <row r="81" spans="10:25" ht="75">
      <c r="J81" s="176"/>
      <c r="L81" s="54" t="s">
        <v>174</v>
      </c>
      <c r="M81" s="45" t="s">
        <v>206</v>
      </c>
      <c r="N81" s="45" t="str">
        <f>CONCATENATE("q",$I$9, "_",$I$16, "b")</f>
        <v>q14304_2b</v>
      </c>
      <c r="O81" s="70" t="str">
        <f>CONCATENATE(N81, ". ", SUBSTITUTE($E$11, "[مصدر]",$E$16))</f>
        <v>q14304_2b. من من أفراد الأسرة يتلقى برنامج تكافل؟  فرد ثانى</v>
      </c>
      <c r="P81" s="410" t="str">
        <f>CONCATENATE(N81, ". ", SUBSTITUTE($B$11, "[source]",$B$16))</f>
        <v>q14304_2b. Who receives Takaful? Second member</v>
      </c>
      <c r="S81" s="117" t="str">
        <f>CONCATENATE(K80, "&amp;&amp; data('valid_overall') ==1")</f>
        <v>selected (data('q14305_2a'), '1') &amp;&amp; selected (data('q14303_2'), '1') &amp;&amp; selected (data('q14301_2'), '1')&amp;&amp; data('valid_overall') ==1</v>
      </c>
      <c r="V81" s="31" t="str">
        <f>CONCATENATE("(data('",N76,"') != data('",N85,"')) || selected(data('",N67,"'), '2') || selected(data('",N62,"'), '2') || data('valid_overall') == 0")</f>
        <v>(data('q14304_2a_1') != data('q14304_2b_1')) || selected(data('q14303_2'), '2') || selected(data('q14301_2'), '2') || data('valid_overall') == 0</v>
      </c>
      <c r="W81" s="31" t="s">
        <v>994</v>
      </c>
      <c r="X81" s="31" t="s">
        <v>555</v>
      </c>
      <c r="Y81" s="45" t="b">
        <v>1</v>
      </c>
    </row>
    <row r="82" spans="10:25">
      <c r="J82" s="178" t="s">
        <v>24</v>
      </c>
      <c r="L82" s="54"/>
      <c r="O82" s="70"/>
      <c r="P82" s="410"/>
      <c r="V82" s="31"/>
      <c r="W82" s="31"/>
      <c r="X82" s="31"/>
    </row>
    <row r="83" spans="10:25">
      <c r="J83" s="178" t="s">
        <v>23</v>
      </c>
      <c r="K83" s="45" t="str">
        <f>K80</f>
        <v>selected (data('q14305_2a'), '1') &amp;&amp; selected (data('q14303_2'), '1') &amp;&amp; selected (data('q14301_2'), '1')</v>
      </c>
      <c r="L83" s="54"/>
      <c r="O83" s="70"/>
      <c r="P83" s="410"/>
      <c r="V83" s="31"/>
      <c r="W83" s="31"/>
      <c r="X83" s="31"/>
    </row>
    <row r="84" spans="10:25">
      <c r="J84" s="44" t="s">
        <v>20</v>
      </c>
      <c r="L84" s="54"/>
      <c r="O84" s="70"/>
      <c r="P84" s="410"/>
      <c r="V84" s="31"/>
      <c r="W84" s="31"/>
      <c r="X84" s="31"/>
    </row>
    <row r="85" spans="10:25">
      <c r="L85" s="174" t="s">
        <v>413</v>
      </c>
      <c r="M85" s="169" t="str">
        <f>CONCATENATE(M81,"_line_",N81)</f>
        <v>roster_line_q14304_2b</v>
      </c>
      <c r="N85" s="174" t="str">
        <f>CONCATENATE(N81,"_1")</f>
        <v>q14304_2b_1</v>
      </c>
      <c r="S85" s="117" t="str">
        <f>S81</f>
        <v>selected (data('q14305_2a'), '1') &amp;&amp; selected (data('q14303_2'), '1') &amp;&amp; selected (data('q14301_2'), '1')&amp;&amp; data('valid_overall') ==1</v>
      </c>
      <c r="Y85" s="45" t="b">
        <v>1</v>
      </c>
    </row>
    <row r="86" spans="10:25" ht="30">
      <c r="J86" s="44"/>
      <c r="L86" s="174" t="s">
        <v>18</v>
      </c>
      <c r="M86" s="169" t="s">
        <v>17</v>
      </c>
      <c r="N86" s="45" t="str">
        <f>CONCATENATE("q",$I$10, "_",$I$16, "b")</f>
        <v>q14305_2b</v>
      </c>
      <c r="O86" s="70" t="str">
        <f>CONCATENATE(N86, ". ", SUBSTITUTE($E$12, "[مصدر]",$E$16))</f>
        <v>q14305_2b. هل يتلقى شخص آخر في الأسرة برنامج تكافل؟</v>
      </c>
      <c r="P86" s="410" t="str">
        <f>CONCATENATE(N86, ". ", SUBSTITUTE($B$12, "[source]",$B$16))</f>
        <v>q14305_2b. Does another member receive Takaful?</v>
      </c>
      <c r="S86" s="117" t="str">
        <f>CONCATENATE(K80, "&amp;&amp; data('valid_overall') ==1")</f>
        <v>selected (data('q14305_2a'), '1') &amp;&amp; selected (data('q14303_2'), '1') &amp;&amp; selected (data('q14301_2'), '1')&amp;&amp; data('valid_overall') ==1</v>
      </c>
      <c r="Y86" s="45" t="b">
        <v>1</v>
      </c>
    </row>
    <row r="87" spans="10:25">
      <c r="J87" s="44" t="s">
        <v>21</v>
      </c>
      <c r="L87" s="174"/>
      <c r="M87" s="169"/>
      <c r="O87" s="70"/>
      <c r="P87" s="410"/>
    </row>
    <row r="88" spans="10:25">
      <c r="J88" s="178" t="s">
        <v>24</v>
      </c>
      <c r="L88" s="174"/>
      <c r="M88" s="169"/>
      <c r="N88" s="174"/>
    </row>
    <row r="89" spans="10:25">
      <c r="J89" s="178" t="s">
        <v>23</v>
      </c>
      <c r="K89" s="45" t="str">
        <f>CONCATENATE("selected (data('",N86,"'), '1') &amp;&amp; ",K80)</f>
        <v>selected (data('q14305_2b'), '1') &amp;&amp; selected (data('q14305_2a'), '1') &amp;&amp; selected (data('q14303_2'), '1') &amp;&amp; selected (data('q14301_2'), '1')</v>
      </c>
      <c r="L89" s="174"/>
      <c r="M89" s="169"/>
      <c r="N89" s="174"/>
    </row>
    <row r="90" spans="10:25" ht="165">
      <c r="J90" s="44"/>
      <c r="L90" s="54" t="s">
        <v>174</v>
      </c>
      <c r="M90" s="45" t="s">
        <v>206</v>
      </c>
      <c r="N90" s="45" t="str">
        <f>CONCATENATE("q",$I$9, "_",$I$16, "c")</f>
        <v>q14304_2c</v>
      </c>
      <c r="O90" s="70" t="str">
        <f>CONCATENATE(N90, ". ", SUBSTITUTE($E$13, "[مصدر]",$E$16))</f>
        <v>q14304_2c. من من أفراد الأسرة يتلقى برنامج تكافل؟  فرد ثالث</v>
      </c>
      <c r="P90" s="410" t="str">
        <f>CONCATENATE(N90, ". ", SUBSTITUTE($B$13, "[source]",$B$16))</f>
        <v>q14304_2c. Who receives Takaful? Third member</v>
      </c>
      <c r="S90" s="117" t="str">
        <f>CONCATENATE(K89, "&amp;&amp; data('valid_overall') ==1")</f>
        <v>selected (data('q14305_2b'), '1') &amp;&amp; selected (data('q14305_2a'), '1') &amp;&amp; selected (data('q14303_2'), '1') &amp;&amp; selected (data('q14301_2'), '1')&amp;&amp; data('valid_overall') ==1</v>
      </c>
      <c r="V90" s="31" t="str">
        <f>CONCATENATE("((data('",N85,"') != data('",N76,"')) &amp;&amp; (data('",N95,"') != data('",N76,"')) &amp;&amp; (data('",N85,"') != data('",N95,"')))  || selected(data('",N77,"'), '2')  || selected(data('",N86,"'), '2')  || selected(data('",N67,"'), '2') || selected(data('",N62,"'), '2')  || data('valid_overall') == 0 ")</f>
        <v xml:space="preserve">((data('q14304_2b_1') != data('q14304_2a_1')) &amp;&amp; (data('q14304_2c_1') != data('q14304_2a_1')) &amp;&amp; (data('q14304_2b_1') != data('q14304_2c_1')))  || selected(data('q14305_2a'), '2')  || selected(data('q14305_2b'), '2')  || selected(data('q14303_2'), '2') || selected(data('q14301_2'), '2')  || data('valid_overall') == 0 </v>
      </c>
      <c r="W90" s="31" t="s">
        <v>994</v>
      </c>
      <c r="X90" s="31" t="s">
        <v>555</v>
      </c>
      <c r="Y90" s="45" t="b">
        <v>1</v>
      </c>
    </row>
    <row r="91" spans="10:25">
      <c r="J91" s="178" t="s">
        <v>24</v>
      </c>
      <c r="L91" s="54"/>
      <c r="O91" s="70"/>
      <c r="P91" s="410"/>
      <c r="V91" s="31"/>
      <c r="W91" s="31"/>
      <c r="X91" s="31"/>
    </row>
    <row r="92" spans="10:25">
      <c r="J92" s="44" t="s">
        <v>20</v>
      </c>
      <c r="L92" s="54"/>
      <c r="O92" s="70"/>
      <c r="P92" s="410"/>
      <c r="V92" s="31"/>
      <c r="W92" s="31"/>
      <c r="X92" s="31"/>
    </row>
    <row r="93" spans="10:25">
      <c r="J93" s="178" t="s">
        <v>23</v>
      </c>
      <c r="K93" s="45" t="str">
        <f>K89</f>
        <v>selected (data('q14305_2b'), '1') &amp;&amp; selected (data('q14305_2a'), '1') &amp;&amp; selected (data('q14303_2'), '1') &amp;&amp; selected (data('q14301_2'), '1')</v>
      </c>
      <c r="L93" s="54"/>
      <c r="O93" s="70"/>
      <c r="P93" s="410"/>
      <c r="V93" s="31"/>
      <c r="W93" s="31"/>
      <c r="X93" s="31"/>
    </row>
    <row r="94" spans="10:25">
      <c r="L94" s="54"/>
      <c r="O94" s="70"/>
      <c r="P94" s="410"/>
      <c r="V94" s="31"/>
      <c r="W94" s="31"/>
      <c r="X94" s="31"/>
    </row>
    <row r="95" spans="10:25">
      <c r="J95" s="44"/>
      <c r="L95" s="174" t="s">
        <v>413</v>
      </c>
      <c r="M95" s="169" t="str">
        <f>CONCATENATE(M90,"_line_",N90)</f>
        <v>roster_line_q14304_2c</v>
      </c>
      <c r="N95" s="174" t="str">
        <f>CONCATENATE(N90,"_1")</f>
        <v>q14304_2c_1</v>
      </c>
      <c r="S95" s="117" t="str">
        <f>S90</f>
        <v>selected (data('q14305_2b'), '1') &amp;&amp; selected (data('q14305_2a'), '1') &amp;&amp; selected (data('q14303_2'), '1') &amp;&amp; selected (data('q14301_2'), '1')&amp;&amp; data('valid_overall') ==1</v>
      </c>
      <c r="Y95" s="45" t="b">
        <v>1</v>
      </c>
    </row>
    <row r="96" spans="10:25">
      <c r="J96" s="178" t="s">
        <v>24</v>
      </c>
    </row>
    <row r="97" spans="4:25" ht="120">
      <c r="D97" s="117"/>
      <c r="G97" s="118"/>
      <c r="L97" s="54" t="s">
        <v>18</v>
      </c>
      <c r="M97" s="45" t="s">
        <v>17</v>
      </c>
      <c r="N97" s="45" t="str">
        <f>CONCATENATE("q",$I$6, "_",$I$17)</f>
        <v>q14301_3</v>
      </c>
      <c r="O97" s="70" t="str">
        <f>CONCATENATE(N97, ". ", SUBSTITUTE($E$6, "[مصدر]",$E$17))</f>
        <v xml:space="preserve">q14301_3. خلال الـ12 شهر الماضية، هل تلقى أي فرد من أفراد الأسرة أي تحويلات من برنامج كرامة ؟  
  </v>
      </c>
      <c r="P97" s="410" t="str">
        <f>CONCATENATE(N97, ". ", SUBSTITUTE($B$6, "[source]",$B$17))</f>
        <v>q14301_3. Over the past twelve months, did the household have any family members receive any transfers from Karama?</v>
      </c>
      <c r="S97" s="117" t="s">
        <v>587</v>
      </c>
    </row>
    <row r="98" spans="4:25">
      <c r="J98" s="45" t="s">
        <v>21</v>
      </c>
      <c r="L98" s="54"/>
    </row>
    <row r="99" spans="4:25">
      <c r="J99" s="178" t="s">
        <v>23</v>
      </c>
      <c r="K99" s="45" t="str">
        <f>CONCATENATE("selected (data('",N97,"'), '1')")</f>
        <v>selected (data('q14301_3'), '1')</v>
      </c>
      <c r="L99" s="54"/>
    </row>
    <row r="100" spans="4:25">
      <c r="J100" s="44" t="s">
        <v>20</v>
      </c>
      <c r="L100" s="54"/>
    </row>
    <row r="101" spans="4:25" ht="135">
      <c r="J101" s="176"/>
      <c r="L101" s="54" t="s">
        <v>19</v>
      </c>
      <c r="N101" s="45" t="str">
        <f>CONCATENATE("q",$I$7, "_",$I$17)</f>
        <v>q14302_3</v>
      </c>
      <c r="O101" s="70" t="str">
        <f>CONCATENATE(N101, ". ", SUBSTITUTE($E$7, "[مصدر]",$E$17))</f>
        <v xml:space="preserve">q14302_3. ما هو متوسط المبلغ المحول من برنامج كرامة  في الشهر (بالجنيه) ؟  
  </v>
      </c>
      <c r="P101" s="410" t="str">
        <f>CONCATENATE(N101, ". ", SUBSTITUTE($B$7, "[source]",$B$17))</f>
        <v>q14302_3. What is its value per month on average Karama?</v>
      </c>
      <c r="Q101" s="117" t="s">
        <v>993</v>
      </c>
      <c r="R101" s="117" t="s">
        <v>553</v>
      </c>
      <c r="S101" s="117" t="str">
        <f>CONCATENATE("data('valid_overall') == 1 &amp;&amp; ",K99)</f>
        <v>data('valid_overall') == 1 &amp;&amp; selected (data('q14301_3'), '1')</v>
      </c>
      <c r="Y101" s="45" t="b">
        <v>1</v>
      </c>
    </row>
    <row r="102" spans="4:25" ht="60">
      <c r="J102" s="176"/>
      <c r="L102" s="54" t="s">
        <v>18</v>
      </c>
      <c r="M102" s="45" t="s">
        <v>17</v>
      </c>
      <c r="N102" s="45" t="str">
        <f>CONCATENATE("q",$I$8, "_",$I$17)</f>
        <v>q14303_3</v>
      </c>
      <c r="O102" s="70" t="str">
        <f>CONCATENATE(N102, ". ", SUBSTITUTE($E$8, "[مصدر]",$E$17))</f>
        <v>q14303_3. هل يتلقى شخص معين في الأسرة برنامج كرامة؟</v>
      </c>
      <c r="P102" s="410" t="str">
        <f>CONCATENATE(N102, ". ", SUBSTITUTE($B$8, "[source]",$B$17))</f>
        <v xml:space="preserve">q14303_3. Does Karama accrue to a specific member of the household? </v>
      </c>
      <c r="S102" s="117" t="str">
        <f>CONCATENATE("data('valid_overall') == 1 &amp;&amp; ",K99)</f>
        <v>data('valid_overall') == 1 &amp;&amp; selected (data('q14301_3'), '1')</v>
      </c>
      <c r="Y102" s="45" t="b">
        <v>1</v>
      </c>
    </row>
    <row r="103" spans="4:25">
      <c r="J103" s="44" t="s">
        <v>21</v>
      </c>
      <c r="L103" s="54"/>
      <c r="O103" s="70"/>
      <c r="P103" s="410"/>
    </row>
    <row r="104" spans="4:25">
      <c r="J104" s="178" t="s">
        <v>24</v>
      </c>
      <c r="L104" s="54"/>
      <c r="O104" s="70"/>
      <c r="P104" s="410"/>
    </row>
    <row r="105" spans="4:25">
      <c r="J105" s="178" t="s">
        <v>23</v>
      </c>
      <c r="K105" s="45" t="str">
        <f>CONCATENATE("selected (data('",N102,"'), '1') &amp;&amp; ",K99)</f>
        <v>selected (data('q14303_3'), '1') &amp;&amp; selected (data('q14301_3'), '1')</v>
      </c>
      <c r="L105" s="54"/>
    </row>
    <row r="106" spans="4:25" ht="45">
      <c r="J106" s="176"/>
      <c r="L106" s="54" t="s">
        <v>174</v>
      </c>
      <c r="M106" s="45" t="s">
        <v>206</v>
      </c>
      <c r="N106" s="45" t="str">
        <f>CONCATENATE("q",$I$9, "_",$I$17, "a")</f>
        <v>q14304_3a</v>
      </c>
      <c r="O106" s="70" t="str">
        <f>CONCATENATE(N106, ". ", SUBSTITUTE($E$9, "[مصدر]",$E$17))</f>
        <v xml:space="preserve">q14304_3a. من من أفراد الأسرة يتلقى برنامج كرامة؟  أول فرد </v>
      </c>
      <c r="P106" s="410" t="str">
        <f>CONCATENATE(N106, ". ", SUBSTITUTE($B$9, "[source]",$B$17))</f>
        <v>q14304_3a. Who receives Karama? First member</v>
      </c>
      <c r="S106" s="117" t="str">
        <f>CONCATENATE(K105, "&amp;&amp; data('valid_overall') ==1")</f>
        <v>selected (data('q14303_3'), '1') &amp;&amp; selected (data('q14301_3'), '1')&amp;&amp; data('valid_overall') ==1</v>
      </c>
      <c r="Y106" s="45" t="b">
        <v>1</v>
      </c>
    </row>
    <row r="107" spans="4:25">
      <c r="J107" s="178" t="s">
        <v>24</v>
      </c>
      <c r="L107" s="54"/>
      <c r="O107" s="70"/>
      <c r="P107" s="410"/>
    </row>
    <row r="108" spans="4:25">
      <c r="L108" s="54"/>
      <c r="O108" s="70"/>
      <c r="P108" s="410"/>
    </row>
    <row r="109" spans="4:25">
      <c r="J109" s="178" t="s">
        <v>23</v>
      </c>
      <c r="K109" s="45" t="str">
        <f>K105</f>
        <v>selected (data('q14303_3'), '1') &amp;&amp; selected (data('q14301_3'), '1')</v>
      </c>
      <c r="L109" s="54"/>
      <c r="O109" s="70"/>
      <c r="P109" s="410"/>
    </row>
    <row r="110" spans="4:25">
      <c r="J110" s="44" t="s">
        <v>20</v>
      </c>
      <c r="L110" s="54"/>
      <c r="O110" s="70"/>
      <c r="P110" s="410"/>
    </row>
    <row r="111" spans="4:25">
      <c r="L111" s="174" t="s">
        <v>413</v>
      </c>
      <c r="M111" s="169" t="str">
        <f>CONCATENATE(M106,"_line_",N106)</f>
        <v>roster_line_q14304_3a</v>
      </c>
      <c r="N111" s="174" t="str">
        <f>CONCATENATE(N106,"_1")</f>
        <v>q14304_3a_1</v>
      </c>
      <c r="S111" s="117" t="str">
        <f>S106</f>
        <v>selected (data('q14303_3'), '1') &amp;&amp; selected (data('q14301_3'), '1')&amp;&amp; data('valid_overall') ==1</v>
      </c>
      <c r="Y111" s="45" t="b">
        <v>1</v>
      </c>
    </row>
    <row r="112" spans="4:25" ht="30">
      <c r="J112" s="44"/>
      <c r="L112" s="174" t="s">
        <v>18</v>
      </c>
      <c r="M112" s="169" t="s">
        <v>17</v>
      </c>
      <c r="N112" s="45" t="str">
        <f>CONCATENATE("q",$I$10, "_",$I$17, "a")</f>
        <v>q14305_3a</v>
      </c>
      <c r="O112" s="70" t="str">
        <f>CONCATENATE(N112, ". ", SUBSTITUTE($E$10, "[مصدر]",$E$17))</f>
        <v>q14305_3a. هل يتلقى شخص آخر في الأسرة برنامج كرامة؟</v>
      </c>
      <c r="P112" s="410" t="str">
        <f>CONCATENATE(N112, ". ", SUBSTITUTE($B$10, "[source]",$B$17))</f>
        <v>q14305_3a. Does another member receive Karama?</v>
      </c>
      <c r="S112" s="117" t="str">
        <f>CONCATENATE(K105, "&amp;&amp; data('valid_overall') ==1")</f>
        <v>selected (data('q14303_3'), '1') &amp;&amp; selected (data('q14301_3'), '1')&amp;&amp; data('valid_overall') ==1</v>
      </c>
      <c r="Y112" s="45" t="b">
        <v>1</v>
      </c>
    </row>
    <row r="113" spans="10:25">
      <c r="J113" s="44" t="s">
        <v>21</v>
      </c>
      <c r="L113" s="174"/>
      <c r="M113" s="169"/>
      <c r="N113" s="174"/>
    </row>
    <row r="114" spans="10:25">
      <c r="J114" s="178" t="s">
        <v>24</v>
      </c>
      <c r="L114" s="174"/>
      <c r="M114" s="169"/>
      <c r="N114" s="174"/>
    </row>
    <row r="115" spans="10:25">
      <c r="J115" s="178" t="s">
        <v>23</v>
      </c>
      <c r="K115" s="45" t="str">
        <f>CONCATENATE("selected (data('",N112,"'), '1') &amp;&amp; ",K105)</f>
        <v>selected (data('q14305_3a'), '1') &amp;&amp; selected (data('q14303_3'), '1') &amp;&amp; selected (data('q14301_3'), '1')</v>
      </c>
      <c r="L115" s="54"/>
    </row>
    <row r="116" spans="10:25" ht="75">
      <c r="J116" s="176"/>
      <c r="L116" s="54" t="s">
        <v>174</v>
      </c>
      <c r="M116" s="45" t="s">
        <v>206</v>
      </c>
      <c r="N116" s="45" t="str">
        <f>CONCATENATE("q",$I$9, "_",$I$17, "b")</f>
        <v>q14304_3b</v>
      </c>
      <c r="O116" s="70" t="str">
        <f>CONCATENATE(N116, ". ", SUBSTITUTE($E$11, "[مصدر]",$E$17))</f>
        <v>q14304_3b. من من أفراد الأسرة يتلقى برنامج كرامة؟  فرد ثانى</v>
      </c>
      <c r="P116" s="410" t="str">
        <f>CONCATENATE(N116, ". ", SUBSTITUTE($B$11, "[source]",$B$17))</f>
        <v>q14304_3b. Who receives Karama? Second member</v>
      </c>
      <c r="S116" s="117" t="str">
        <f>CONCATENATE(K115, "&amp;&amp; data('valid_overall') ==1")</f>
        <v>selected (data('q14305_3a'), '1') &amp;&amp; selected (data('q14303_3'), '1') &amp;&amp; selected (data('q14301_3'), '1')&amp;&amp; data('valid_overall') ==1</v>
      </c>
      <c r="V116" s="31" t="str">
        <f>CONCATENATE("(data('",N111,"') != data('",N120,"')) || selected(data('",N102,"'), '2') || selected(data('",N97,"'), '2') || data('valid_overall') == 0")</f>
        <v>(data('q14304_3a_1') != data('q14304_3b_1')) || selected(data('q14303_3'), '2') || selected(data('q14301_3'), '2') || data('valid_overall') == 0</v>
      </c>
      <c r="W116" s="31" t="s">
        <v>994</v>
      </c>
      <c r="X116" s="31" t="s">
        <v>555</v>
      </c>
      <c r="Y116" s="45" t="b">
        <v>1</v>
      </c>
    </row>
    <row r="117" spans="10:25">
      <c r="J117" s="178" t="s">
        <v>24</v>
      </c>
      <c r="L117" s="54"/>
      <c r="O117" s="70"/>
      <c r="P117" s="410"/>
      <c r="V117" s="31"/>
      <c r="W117" s="31"/>
      <c r="X117" s="31"/>
    </row>
    <row r="118" spans="10:25">
      <c r="J118" s="178" t="s">
        <v>23</v>
      </c>
      <c r="K118" s="45" t="str">
        <f>K115</f>
        <v>selected (data('q14305_3a'), '1') &amp;&amp; selected (data('q14303_3'), '1') &amp;&amp; selected (data('q14301_3'), '1')</v>
      </c>
      <c r="L118" s="54"/>
      <c r="O118" s="70"/>
      <c r="P118" s="410"/>
      <c r="V118" s="31"/>
      <c r="W118" s="31"/>
      <c r="X118" s="31"/>
    </row>
    <row r="119" spans="10:25">
      <c r="J119" s="44" t="s">
        <v>20</v>
      </c>
      <c r="L119" s="54"/>
      <c r="O119" s="70"/>
      <c r="P119" s="410"/>
      <c r="V119" s="31"/>
      <c r="W119" s="31"/>
      <c r="X119" s="31"/>
    </row>
    <row r="120" spans="10:25">
      <c r="L120" s="174" t="s">
        <v>413</v>
      </c>
      <c r="M120" s="169" t="str">
        <f>CONCATENATE(M116,"_line_",N116)</f>
        <v>roster_line_q14304_3b</v>
      </c>
      <c r="N120" s="174" t="str">
        <f>CONCATENATE(N116,"_1")</f>
        <v>q14304_3b_1</v>
      </c>
      <c r="S120" s="117" t="str">
        <f>S116</f>
        <v>selected (data('q14305_3a'), '1') &amp;&amp; selected (data('q14303_3'), '1') &amp;&amp; selected (data('q14301_3'), '1')&amp;&amp; data('valid_overall') ==1</v>
      </c>
      <c r="Y120" s="45" t="b">
        <v>1</v>
      </c>
    </row>
    <row r="121" spans="10:25" ht="30">
      <c r="J121" s="44"/>
      <c r="L121" s="174" t="s">
        <v>18</v>
      </c>
      <c r="M121" s="169" t="s">
        <v>17</v>
      </c>
      <c r="N121" s="45" t="str">
        <f>CONCATENATE("q",$I$10, "_",$I$17, "b")</f>
        <v>q14305_3b</v>
      </c>
      <c r="O121" s="70" t="str">
        <f>CONCATENATE(N121, ". ", SUBSTITUTE($E$12, "[مصدر]",$E$17))</f>
        <v>q14305_3b. هل يتلقى شخص آخر في الأسرة برنامج كرامة؟</v>
      </c>
      <c r="P121" s="410" t="str">
        <f>CONCATENATE(N121, ". ", SUBSTITUTE($B$12, "[source]",$B$17))</f>
        <v>q14305_3b. Does another member receive Karama?</v>
      </c>
      <c r="S121" s="117" t="str">
        <f>CONCATENATE(K115, "&amp;&amp; data('valid_overall') ==1")</f>
        <v>selected (data('q14305_3a'), '1') &amp;&amp; selected (data('q14303_3'), '1') &amp;&amp; selected (data('q14301_3'), '1')&amp;&amp; data('valid_overall') ==1</v>
      </c>
      <c r="Y121" s="45" t="b">
        <v>1</v>
      </c>
    </row>
    <row r="122" spans="10:25">
      <c r="J122" s="44" t="s">
        <v>21</v>
      </c>
      <c r="L122" s="174"/>
      <c r="M122" s="169"/>
      <c r="O122" s="70"/>
      <c r="P122" s="410"/>
    </row>
    <row r="123" spans="10:25">
      <c r="J123" s="178" t="s">
        <v>24</v>
      </c>
      <c r="L123" s="174"/>
      <c r="M123" s="169"/>
      <c r="N123" s="174"/>
    </row>
    <row r="124" spans="10:25">
      <c r="J124" s="178" t="s">
        <v>23</v>
      </c>
      <c r="K124" s="45" t="str">
        <f>CONCATENATE("selected (data('",N121,"'), '1') &amp;&amp; ",K115)</f>
        <v>selected (data('q14305_3b'), '1') &amp;&amp; selected (data('q14305_3a'), '1') &amp;&amp; selected (data('q14303_3'), '1') &amp;&amp; selected (data('q14301_3'), '1')</v>
      </c>
      <c r="L124" s="174"/>
      <c r="M124" s="169"/>
      <c r="N124" s="174"/>
    </row>
    <row r="125" spans="10:25" ht="165">
      <c r="J125" s="44"/>
      <c r="L125" s="54" t="s">
        <v>174</v>
      </c>
      <c r="M125" s="45" t="s">
        <v>206</v>
      </c>
      <c r="N125" s="45" t="str">
        <f>CONCATENATE("q",$I$9, "_",$I$17, "c")</f>
        <v>q14304_3c</v>
      </c>
      <c r="O125" s="70" t="str">
        <f>CONCATENATE(N125, ". ", SUBSTITUTE($E$13, "[مصدر]",$E$17))</f>
        <v>q14304_3c. من من أفراد الأسرة يتلقى برنامج كرامة؟  فرد ثالث</v>
      </c>
      <c r="P125" s="410" t="str">
        <f>CONCATENATE(N125, ". ", SUBSTITUTE($B$13, "[source]",$B$17))</f>
        <v>q14304_3c. Who receives Karama? Third member</v>
      </c>
      <c r="S125" s="117" t="str">
        <f>CONCATENATE(K124, "&amp;&amp; data('valid_overall') ==1")</f>
        <v>selected (data('q14305_3b'), '1') &amp;&amp; selected (data('q14305_3a'), '1') &amp;&amp; selected (data('q14303_3'), '1') &amp;&amp; selected (data('q14301_3'), '1')&amp;&amp; data('valid_overall') ==1</v>
      </c>
      <c r="V125" s="31" t="str">
        <f>CONCATENATE("((data('",N120,"') != data('",N111,"')) &amp;&amp; (data('",N130,"') != data('",N111,"')) &amp;&amp; (data('",N120,"') != data('",N130,"')))  || selected(data('",N112,"'), '2')  || selected(data('",N121,"'), '2')  || selected(data('",N102,"'), '2') || selected(data('",N97,"'), '2')  || data('valid_overall') == 0 ")</f>
        <v xml:space="preserve">((data('q14304_3b_1') != data('q14304_3a_1')) &amp;&amp; (data('q14304_3c_1') != data('q14304_3a_1')) &amp;&amp; (data('q14304_3b_1') != data('q14304_3c_1')))  || selected(data('q14305_3a'), '2')  || selected(data('q14305_3b'), '2')  || selected(data('q14303_3'), '2') || selected(data('q14301_3'), '2')  || data('valid_overall') == 0 </v>
      </c>
      <c r="W125" s="31" t="s">
        <v>994</v>
      </c>
      <c r="X125" s="31" t="s">
        <v>555</v>
      </c>
      <c r="Y125" s="45" t="b">
        <v>1</v>
      </c>
    </row>
    <row r="126" spans="10:25">
      <c r="J126" s="178" t="s">
        <v>24</v>
      </c>
      <c r="L126" s="54"/>
      <c r="O126" s="70"/>
      <c r="P126" s="410"/>
      <c r="V126" s="31"/>
      <c r="W126" s="31"/>
      <c r="X126" s="31"/>
    </row>
    <row r="127" spans="10:25">
      <c r="J127" s="44" t="s">
        <v>20</v>
      </c>
      <c r="L127" s="54"/>
      <c r="O127" s="70"/>
      <c r="P127" s="410"/>
      <c r="V127" s="31"/>
      <c r="W127" s="31"/>
      <c r="X127" s="31"/>
    </row>
    <row r="128" spans="10:25">
      <c r="J128" s="178" t="s">
        <v>23</v>
      </c>
      <c r="K128" s="45" t="str">
        <f>K124</f>
        <v>selected (data('q14305_3b'), '1') &amp;&amp; selected (data('q14305_3a'), '1') &amp;&amp; selected (data('q14303_3'), '1') &amp;&amp; selected (data('q14301_3'), '1')</v>
      </c>
      <c r="L128" s="54"/>
      <c r="O128" s="70"/>
      <c r="P128" s="410"/>
      <c r="V128" s="31"/>
      <c r="W128" s="31"/>
      <c r="X128" s="31"/>
    </row>
    <row r="129" spans="4:25">
      <c r="L129" s="54"/>
      <c r="O129" s="70"/>
      <c r="P129" s="410"/>
      <c r="V129" s="31"/>
      <c r="W129" s="31"/>
      <c r="X129" s="31"/>
    </row>
    <row r="130" spans="4:25">
      <c r="J130" s="44"/>
      <c r="L130" s="174" t="s">
        <v>413</v>
      </c>
      <c r="M130" s="169" t="str">
        <f>CONCATENATE(M125,"_line_",N125)</f>
        <v>roster_line_q14304_3c</v>
      </c>
      <c r="N130" s="174" t="str">
        <f>CONCATENATE(N125,"_1")</f>
        <v>q14304_3c_1</v>
      </c>
      <c r="S130" s="117" t="str">
        <f>S125</f>
        <v>selected (data('q14305_3b'), '1') &amp;&amp; selected (data('q14305_3a'), '1') &amp;&amp; selected (data('q14303_3'), '1') &amp;&amp; selected (data('q14301_3'), '1')&amp;&amp; data('valid_overall') ==1</v>
      </c>
      <c r="Y130" s="45" t="b">
        <v>1</v>
      </c>
    </row>
    <row r="131" spans="4:25">
      <c r="J131" s="178" t="s">
        <v>24</v>
      </c>
    </row>
    <row r="132" spans="4:25" ht="150">
      <c r="D132" s="117"/>
      <c r="G132" s="118"/>
      <c r="L132" s="54" t="s">
        <v>18</v>
      </c>
      <c r="M132" s="45" t="s">
        <v>17</v>
      </c>
      <c r="N132" s="45" t="str">
        <f>CONCATENATE("q",$I$6, "_",$I$18)</f>
        <v>q14301_4</v>
      </c>
      <c r="O132" s="70" t="str">
        <f>CONCATENATE(N132, ". ", SUBSTITUTE($E$6, "[مصدر]",$E$18))</f>
        <v xml:space="preserve">q14301_4. خلال الـ12 شهر الماضية، هل تلقى أي فرد من أفراد الأسرة أي تحويلات من مساعدات أخرى من وزارة التضامن الاجتماعي (غير كرامة أو تكافل)  ؟  
  </v>
      </c>
      <c r="P132" s="410" t="str">
        <f>CONCATENATE(N132, ". ", SUBSTITUTE($B$6, "[source]",$B$18))</f>
        <v>q14301_4. Over the past twelve months, did the household have any family members receive any transfers from Other assistance (not Karama or Takaful) from the Ministry of Social Solidarity?</v>
      </c>
      <c r="S132" s="117" t="s">
        <v>587</v>
      </c>
    </row>
    <row r="133" spans="4:25">
      <c r="J133" s="45" t="s">
        <v>21</v>
      </c>
      <c r="L133" s="54"/>
    </row>
    <row r="134" spans="4:25">
      <c r="J134" s="178" t="s">
        <v>23</v>
      </c>
      <c r="K134" s="45" t="str">
        <f>CONCATENATE("selected (data('",N132,"'), '1')")</f>
        <v>selected (data('q14301_4'), '1')</v>
      </c>
      <c r="L134" s="54"/>
    </row>
    <row r="135" spans="4:25">
      <c r="J135" s="44" t="s">
        <v>20</v>
      </c>
      <c r="L135" s="54"/>
    </row>
    <row r="136" spans="4:25" ht="135">
      <c r="J136" s="176"/>
      <c r="L136" s="54" t="s">
        <v>19</v>
      </c>
      <c r="N136" s="45" t="str">
        <f>CONCATENATE("q",$I$7, "_",$I$18)</f>
        <v>q14302_4</v>
      </c>
      <c r="O136" s="70" t="str">
        <f>CONCATENATE(N136, ". ", SUBSTITUTE($E$7, "[مصدر]",$E$18))</f>
        <v xml:space="preserve">q14302_4. ما هو متوسط المبلغ المحول من مساعدات أخرى من وزارة التضامن الاجتماعي (غير كرامة أو تكافل)   في الشهر (بالجنيه) ؟  
  </v>
      </c>
      <c r="P136" s="410" t="str">
        <f>CONCATENATE(N136, ". ", SUBSTITUTE($B$7, "[source]",$B$18))</f>
        <v>q14302_4. What is its value per month on average Other assistance (not Karama or Takaful) from the Ministry of Social Solidarity?</v>
      </c>
      <c r="Q136" s="117" t="s">
        <v>993</v>
      </c>
      <c r="R136" s="117" t="s">
        <v>553</v>
      </c>
      <c r="S136" s="117" t="str">
        <f>CONCATENATE("data('valid_overall') == 1 &amp;&amp; ",K134)</f>
        <v>data('valid_overall') == 1 &amp;&amp; selected (data('q14301_4'), '1')</v>
      </c>
      <c r="Y136" s="45" t="b">
        <v>1</v>
      </c>
    </row>
    <row r="137" spans="4:25" ht="105">
      <c r="J137" s="176"/>
      <c r="L137" s="54" t="s">
        <v>18</v>
      </c>
      <c r="M137" s="45" t="s">
        <v>17</v>
      </c>
      <c r="N137" s="45" t="str">
        <f>CONCATENATE("q",$I$8, "_",$I$18)</f>
        <v>q14303_4</v>
      </c>
      <c r="O137" s="70" t="str">
        <f>CONCATENATE(N137, ". ", SUBSTITUTE($E$8, "[مصدر]",$E$18))</f>
        <v>q14303_4. هل يتلقى شخص معين في الأسرة مساعدات أخرى من وزارة التضامن الاجتماعي (غير كرامة أو تكافل) ؟</v>
      </c>
      <c r="P137" s="410" t="str">
        <f>CONCATENATE(N137, ". ", SUBSTITUTE($B$8, "[source]",$B$18))</f>
        <v xml:space="preserve">q14303_4. Does Other assistance (not Karama or Takaful) from the Ministry of Social Solidarity accrue to a specific member of the household? </v>
      </c>
      <c r="S137" s="117" t="str">
        <f>CONCATENATE("data('valid_overall') == 1 &amp;&amp; ",K134)</f>
        <v>data('valid_overall') == 1 &amp;&amp; selected (data('q14301_4'), '1')</v>
      </c>
      <c r="Y137" s="45" t="b">
        <v>1</v>
      </c>
    </row>
    <row r="138" spans="4:25">
      <c r="J138" s="44" t="s">
        <v>21</v>
      </c>
      <c r="L138" s="54"/>
      <c r="O138" s="70"/>
      <c r="P138" s="410"/>
    </row>
    <row r="139" spans="4:25">
      <c r="J139" s="178" t="s">
        <v>24</v>
      </c>
      <c r="L139" s="54"/>
      <c r="O139" s="70"/>
      <c r="P139" s="410"/>
    </row>
    <row r="140" spans="4:25">
      <c r="J140" s="178" t="s">
        <v>23</v>
      </c>
      <c r="K140" s="45" t="str">
        <f>CONCATENATE("selected (data('",N137,"'), '1') &amp;&amp; ",K134)</f>
        <v>selected (data('q14303_4'), '1') &amp;&amp; selected (data('q14301_4'), '1')</v>
      </c>
      <c r="L140" s="54"/>
    </row>
    <row r="141" spans="4:25" ht="75">
      <c r="J141" s="176"/>
      <c r="L141" s="54" t="s">
        <v>174</v>
      </c>
      <c r="M141" s="45" t="s">
        <v>206</v>
      </c>
      <c r="N141" s="45" t="str">
        <f>CONCATENATE("q",$I$9, "_",$I$18, "a")</f>
        <v>q14304_4a</v>
      </c>
      <c r="O141" s="70" t="str">
        <f>CONCATENATE(N141, ". ", SUBSTITUTE($E$9, "[مصدر]",$E$18))</f>
        <v xml:space="preserve">q14304_4a. من من أفراد الأسرة يتلقى مساعدات أخرى من وزارة التضامن الاجتماعي (غير كرامة أو تكافل) ؟  أول فرد </v>
      </c>
      <c r="P141" s="410" t="str">
        <f>CONCATENATE(N141, ". ", SUBSTITUTE($B$9, "[source]",$B$18))</f>
        <v>q14304_4a. Who receives Other assistance (not Karama or Takaful) from the Ministry of Social Solidarity? First member</v>
      </c>
      <c r="S141" s="117" t="str">
        <f>CONCATENATE(K140, "&amp;&amp; data('valid_overall') ==1")</f>
        <v>selected (data('q14303_4'), '1') &amp;&amp; selected (data('q14301_4'), '1')&amp;&amp; data('valid_overall') ==1</v>
      </c>
      <c r="Y141" s="45" t="b">
        <v>1</v>
      </c>
    </row>
    <row r="142" spans="4:25">
      <c r="J142" s="178" t="s">
        <v>24</v>
      </c>
      <c r="L142" s="54"/>
      <c r="O142" s="70"/>
      <c r="P142" s="410"/>
    </row>
    <row r="143" spans="4:25">
      <c r="L143" s="54"/>
      <c r="O143" s="70"/>
      <c r="P143" s="410"/>
    </row>
    <row r="144" spans="4:25">
      <c r="J144" s="178" t="s">
        <v>23</v>
      </c>
      <c r="K144" s="45" t="str">
        <f>K140</f>
        <v>selected (data('q14303_4'), '1') &amp;&amp; selected (data('q14301_4'), '1')</v>
      </c>
      <c r="L144" s="54"/>
      <c r="O144" s="70"/>
      <c r="P144" s="410"/>
    </row>
    <row r="145" spans="10:25">
      <c r="J145" s="44" t="s">
        <v>20</v>
      </c>
      <c r="L145" s="54"/>
      <c r="O145" s="70"/>
      <c r="P145" s="410"/>
    </row>
    <row r="146" spans="10:25">
      <c r="L146" s="174" t="s">
        <v>413</v>
      </c>
      <c r="M146" s="169" t="str">
        <f>CONCATENATE(M141,"_line_",N141)</f>
        <v>roster_line_q14304_4a</v>
      </c>
      <c r="N146" s="174" t="str">
        <f>CONCATENATE(N141,"_1")</f>
        <v>q14304_4a_1</v>
      </c>
      <c r="S146" s="117" t="str">
        <f>S141</f>
        <v>selected (data('q14303_4'), '1') &amp;&amp; selected (data('q14301_4'), '1')&amp;&amp; data('valid_overall') ==1</v>
      </c>
      <c r="Y146" s="45" t="b">
        <v>1</v>
      </c>
    </row>
    <row r="147" spans="10:25" ht="90">
      <c r="J147" s="44"/>
      <c r="L147" s="174" t="s">
        <v>18</v>
      </c>
      <c r="M147" s="169" t="s">
        <v>17</v>
      </c>
      <c r="N147" s="45" t="str">
        <f>CONCATENATE("q",$I$10, "_",$I$18, "a")</f>
        <v>q14305_4a</v>
      </c>
      <c r="O147" s="70" t="str">
        <f>CONCATENATE(N147, ". ", SUBSTITUTE($E$10, "[مصدر]",$E$18))</f>
        <v>q14305_4a. هل يتلقى شخص آخر في الأسرة مساعدات أخرى من وزارة التضامن الاجتماعي (غير كرامة أو تكافل) ؟</v>
      </c>
      <c r="P147" s="410" t="str">
        <f>CONCATENATE(N147, ". ", SUBSTITUTE($B$10, "[source]",$B$18))</f>
        <v>q14305_4a. Does another member receive Other assistance (not Karama or Takaful) from the Ministry of Social Solidarity?</v>
      </c>
      <c r="S147" s="117" t="str">
        <f>CONCATENATE(K140, "&amp;&amp; data('valid_overall') ==1")</f>
        <v>selected (data('q14303_4'), '1') &amp;&amp; selected (data('q14301_4'), '1')&amp;&amp; data('valid_overall') ==1</v>
      </c>
      <c r="Y147" s="45" t="b">
        <v>1</v>
      </c>
    </row>
    <row r="148" spans="10:25">
      <c r="J148" s="44" t="s">
        <v>21</v>
      </c>
      <c r="L148" s="174"/>
      <c r="M148" s="169"/>
      <c r="N148" s="174"/>
    </row>
    <row r="149" spans="10:25">
      <c r="J149" s="178" t="s">
        <v>24</v>
      </c>
      <c r="L149" s="174"/>
      <c r="M149" s="169"/>
      <c r="N149" s="174"/>
    </row>
    <row r="150" spans="10:25">
      <c r="J150" s="178" t="s">
        <v>23</v>
      </c>
      <c r="K150" s="45" t="str">
        <f>CONCATENATE("selected (data('",N147,"'), '1') &amp;&amp; ",K140)</f>
        <v>selected (data('q14305_4a'), '1') &amp;&amp; selected (data('q14303_4'), '1') &amp;&amp; selected (data('q14301_4'), '1')</v>
      </c>
      <c r="L150" s="54"/>
    </row>
    <row r="151" spans="10:25" ht="90">
      <c r="J151" s="176"/>
      <c r="L151" s="54" t="s">
        <v>174</v>
      </c>
      <c r="M151" s="45" t="s">
        <v>206</v>
      </c>
      <c r="N151" s="45" t="str">
        <f>CONCATENATE("q",$I$9, "_",$I$18, "b")</f>
        <v>q14304_4b</v>
      </c>
      <c r="O151" s="70" t="str">
        <f>CONCATENATE(N151, ". ", SUBSTITUTE($E$11, "[مصدر]",$E$18))</f>
        <v>q14304_4b. من من أفراد الأسرة يتلقى مساعدات أخرى من وزارة التضامن الاجتماعي (غير كرامة أو تكافل) ؟  فرد ثانى</v>
      </c>
      <c r="P151" s="410" t="str">
        <f>CONCATENATE(N151, ". ", SUBSTITUTE($B$11, "[source]",$B$18))</f>
        <v>q14304_4b. Who receives Other assistance (not Karama or Takaful) from the Ministry of Social Solidarity? Second member</v>
      </c>
      <c r="S151" s="117" t="str">
        <f>CONCATENATE(K150, "&amp;&amp; data('valid_overall') ==1")</f>
        <v>selected (data('q14305_4a'), '1') &amp;&amp; selected (data('q14303_4'), '1') &amp;&amp; selected (data('q14301_4'), '1')&amp;&amp; data('valid_overall') ==1</v>
      </c>
      <c r="V151" s="31" t="str">
        <f>CONCATENATE("(data('",N146,"') != data('",N155,"')) || selected(data('",N137,"'), '2') || selected(data('",N132,"'), '2') || data('valid_overall') == 0")</f>
        <v>(data('q14304_4a_1') != data('q14304_4b_1')) || selected(data('q14303_4'), '2') || selected(data('q14301_4'), '2') || data('valid_overall') == 0</v>
      </c>
      <c r="W151" s="31" t="s">
        <v>994</v>
      </c>
      <c r="X151" s="31" t="s">
        <v>555</v>
      </c>
      <c r="Y151" s="45" t="b">
        <v>1</v>
      </c>
    </row>
    <row r="152" spans="10:25">
      <c r="J152" s="178" t="s">
        <v>24</v>
      </c>
      <c r="L152" s="54"/>
      <c r="O152" s="70"/>
      <c r="P152" s="410"/>
      <c r="V152" s="31"/>
      <c r="W152" s="31"/>
      <c r="X152" s="31"/>
    </row>
    <row r="153" spans="10:25">
      <c r="J153" s="178" t="s">
        <v>23</v>
      </c>
      <c r="K153" s="45" t="str">
        <f>K150</f>
        <v>selected (data('q14305_4a'), '1') &amp;&amp; selected (data('q14303_4'), '1') &amp;&amp; selected (data('q14301_4'), '1')</v>
      </c>
      <c r="L153" s="54"/>
      <c r="O153" s="70"/>
      <c r="P153" s="410"/>
      <c r="V153" s="31"/>
      <c r="W153" s="31"/>
      <c r="X153" s="31"/>
    </row>
    <row r="154" spans="10:25">
      <c r="J154" s="44" t="s">
        <v>20</v>
      </c>
      <c r="L154" s="54"/>
      <c r="O154" s="70"/>
      <c r="P154" s="410"/>
      <c r="V154" s="31"/>
      <c r="W154" s="31"/>
      <c r="X154" s="31"/>
    </row>
    <row r="155" spans="10:25">
      <c r="L155" s="174" t="s">
        <v>413</v>
      </c>
      <c r="M155" s="169" t="str">
        <f>CONCATENATE(M151,"_line_",N151)</f>
        <v>roster_line_q14304_4b</v>
      </c>
      <c r="N155" s="174" t="str">
        <f>CONCATENATE(N151,"_1")</f>
        <v>q14304_4b_1</v>
      </c>
      <c r="S155" s="117" t="str">
        <f>S151</f>
        <v>selected (data('q14305_4a'), '1') &amp;&amp; selected (data('q14303_4'), '1') &amp;&amp; selected (data('q14301_4'), '1')&amp;&amp; data('valid_overall') ==1</v>
      </c>
      <c r="Y155" s="45" t="b">
        <v>1</v>
      </c>
    </row>
    <row r="156" spans="10:25" ht="90">
      <c r="J156" s="44"/>
      <c r="L156" s="174" t="s">
        <v>18</v>
      </c>
      <c r="M156" s="169" t="s">
        <v>17</v>
      </c>
      <c r="N156" s="45" t="str">
        <f>CONCATENATE("q",$I$10, "_",$I$18, "b")</f>
        <v>q14305_4b</v>
      </c>
      <c r="O156" s="70" t="str">
        <f>CONCATENATE(N156, ". ", SUBSTITUTE($E$12, "[مصدر]",$E$18))</f>
        <v>q14305_4b. هل يتلقى شخص آخر في الأسرة مساعدات أخرى من وزارة التضامن الاجتماعي (غير كرامة أو تكافل) ؟</v>
      </c>
      <c r="P156" s="410" t="str">
        <f>CONCATENATE(N156, ". ", SUBSTITUTE($B$12, "[source]",$B$18))</f>
        <v>q14305_4b. Does another member receive Other assistance (not Karama or Takaful) from the Ministry of Social Solidarity?</v>
      </c>
      <c r="S156" s="117" t="str">
        <f>CONCATENATE(K150, "&amp;&amp; data('valid_overall') ==1")</f>
        <v>selected (data('q14305_4a'), '1') &amp;&amp; selected (data('q14303_4'), '1') &amp;&amp; selected (data('q14301_4'), '1')&amp;&amp; data('valid_overall') ==1</v>
      </c>
      <c r="Y156" s="45" t="b">
        <v>1</v>
      </c>
    </row>
    <row r="157" spans="10:25">
      <c r="J157" s="44" t="s">
        <v>21</v>
      </c>
      <c r="L157" s="174"/>
      <c r="M157" s="169"/>
      <c r="O157" s="70"/>
      <c r="P157" s="410"/>
    </row>
    <row r="158" spans="10:25">
      <c r="J158" s="178" t="s">
        <v>24</v>
      </c>
      <c r="L158" s="174"/>
      <c r="M158" s="169"/>
      <c r="N158" s="174"/>
    </row>
    <row r="159" spans="10:25">
      <c r="J159" s="178" t="s">
        <v>23</v>
      </c>
      <c r="K159" s="45" t="str">
        <f>CONCATENATE("selected (data('",N156,"'), '1') &amp;&amp; ",K150)</f>
        <v>selected (data('q14305_4b'), '1') &amp;&amp; selected (data('q14305_4a'), '1') &amp;&amp; selected (data('q14303_4'), '1') &amp;&amp; selected (data('q14301_4'), '1')</v>
      </c>
      <c r="L159" s="174"/>
      <c r="M159" s="169"/>
      <c r="N159" s="174"/>
    </row>
    <row r="160" spans="10:25" ht="165">
      <c r="J160" s="44"/>
      <c r="L160" s="54" t="s">
        <v>174</v>
      </c>
      <c r="M160" s="45" t="s">
        <v>206</v>
      </c>
      <c r="N160" s="45" t="str">
        <f>CONCATENATE("q",$I$9, "_",$I$18, "c")</f>
        <v>q14304_4c</v>
      </c>
      <c r="O160" s="70" t="str">
        <f>CONCATENATE(N160, ". ", SUBSTITUTE($E$13, "[مصدر]",$E$18))</f>
        <v>q14304_4c. من من أفراد الأسرة يتلقى مساعدات أخرى من وزارة التضامن الاجتماعي (غير كرامة أو تكافل) ؟  فرد ثالث</v>
      </c>
      <c r="P160" s="410" t="str">
        <f>CONCATENATE(N160, ". ", SUBSTITUTE($B$13, "[source]",$B$18))</f>
        <v>q14304_4c. Who receives Other assistance (not Karama or Takaful) from the Ministry of Social Solidarity? Third member</v>
      </c>
      <c r="S160" s="117" t="str">
        <f>CONCATENATE(K159, "&amp;&amp; data('valid_overall') ==1")</f>
        <v>selected (data('q14305_4b'), '1') &amp;&amp; selected (data('q14305_4a'), '1') &amp;&amp; selected (data('q14303_4'), '1') &amp;&amp; selected (data('q14301_4'), '1')&amp;&amp; data('valid_overall') ==1</v>
      </c>
      <c r="V160" s="31" t="str">
        <f>CONCATENATE("((data('",N155,"') != data('",N146,"')) &amp;&amp; (data('",N165,"') != data('",N146,"')) &amp;&amp; (data('",N155,"') != data('",N165,"')))  || selected(data('",N147,"'), '2')  || selected(data('",N156,"'), '2')  || selected(data('",N137,"'), '2') || selected(data('",N132,"'), '2')  || data('valid_overall') == 0 ")</f>
        <v xml:space="preserve">((data('q14304_4b_1') != data('q14304_4a_1')) &amp;&amp; (data('q14304_4c_1') != data('q14304_4a_1')) &amp;&amp; (data('q14304_4b_1') != data('q14304_4c_1')))  || selected(data('q14305_4a'), '2')  || selected(data('q14305_4b'), '2')  || selected(data('q14303_4'), '2') || selected(data('q14301_4'), '2')  || data('valid_overall') == 0 </v>
      </c>
      <c r="W160" s="31" t="s">
        <v>994</v>
      </c>
      <c r="X160" s="31" t="s">
        <v>555</v>
      </c>
      <c r="Y160" s="45" t="b">
        <v>1</v>
      </c>
    </row>
    <row r="161" spans="4:25">
      <c r="J161" s="178" t="s">
        <v>24</v>
      </c>
      <c r="L161" s="54"/>
      <c r="O161" s="70"/>
      <c r="P161" s="410"/>
      <c r="V161" s="31"/>
      <c r="W161" s="31"/>
      <c r="X161" s="31"/>
    </row>
    <row r="162" spans="4:25">
      <c r="J162" s="44" t="s">
        <v>20</v>
      </c>
      <c r="L162" s="54"/>
      <c r="O162" s="70"/>
      <c r="P162" s="410"/>
      <c r="V162" s="31"/>
      <c r="W162" s="31"/>
      <c r="X162" s="31"/>
    </row>
    <row r="163" spans="4:25">
      <c r="J163" s="178" t="s">
        <v>23</v>
      </c>
      <c r="K163" s="45" t="str">
        <f>K159</f>
        <v>selected (data('q14305_4b'), '1') &amp;&amp; selected (data('q14305_4a'), '1') &amp;&amp; selected (data('q14303_4'), '1') &amp;&amp; selected (data('q14301_4'), '1')</v>
      </c>
      <c r="L163" s="54"/>
      <c r="O163" s="70"/>
      <c r="P163" s="410"/>
      <c r="V163" s="31"/>
      <c r="W163" s="31"/>
      <c r="X163" s="31"/>
    </row>
    <row r="164" spans="4:25">
      <c r="L164" s="54"/>
      <c r="O164" s="70"/>
      <c r="P164" s="410"/>
      <c r="V164" s="31"/>
      <c r="W164" s="31"/>
      <c r="X164" s="31"/>
    </row>
    <row r="165" spans="4:25">
      <c r="J165" s="44"/>
      <c r="L165" s="174" t="s">
        <v>413</v>
      </c>
      <c r="M165" s="169" t="str">
        <f>CONCATENATE(M160,"_line_",N160)</f>
        <v>roster_line_q14304_4c</v>
      </c>
      <c r="N165" s="174" t="str">
        <f>CONCATENATE(N160,"_1")</f>
        <v>q14304_4c_1</v>
      </c>
      <c r="S165" s="117" t="str">
        <f>S160</f>
        <v>selected (data('q14305_4b'), '1') &amp;&amp; selected (data('q14305_4a'), '1') &amp;&amp; selected (data('q14303_4'), '1') &amp;&amp; selected (data('q14301_4'), '1')&amp;&amp; data('valid_overall') ==1</v>
      </c>
      <c r="Y165" s="45" t="b">
        <v>1</v>
      </c>
    </row>
    <row r="166" spans="4:25">
      <c r="J166" s="178" t="s">
        <v>24</v>
      </c>
    </row>
    <row r="167" spans="4:25" ht="135">
      <c r="D167" s="117"/>
      <c r="G167" s="118"/>
      <c r="L167" s="54" t="s">
        <v>18</v>
      </c>
      <c r="M167" s="45" t="s">
        <v>17</v>
      </c>
      <c r="N167" s="45" t="str">
        <f>CONCATENATE("q",$I$6, "_",$I$19)</f>
        <v>q14301_5</v>
      </c>
      <c r="O167" s="70" t="str">
        <f>CONCATENATE(N167, ". ", SUBSTITUTE($E$6, "[مصدر]",$E$19))</f>
        <v xml:space="preserve">q14301_5. خلال الـ12 شهر الماضية، هل تلقى أي فرد من أفراد الأسرة أي تحويلات من المساعدة من المنظمات غير الهادفة للربح والخيرية ؟  
  </v>
      </c>
      <c r="P167" s="410" t="str">
        <f>CONCATENATE(N167, ". ", SUBSTITUTE($B$6, "[source]",$B$19))</f>
        <v>q14301_5. Over the past twelve months, did the household have any family members receive any transfers from Assistance from non-profit and charitable organizations?</v>
      </c>
      <c r="S167" s="117" t="s">
        <v>587</v>
      </c>
    </row>
    <row r="168" spans="4:25">
      <c r="J168" s="45" t="s">
        <v>21</v>
      </c>
      <c r="L168" s="54"/>
    </row>
    <row r="169" spans="4:25">
      <c r="J169" s="178" t="s">
        <v>23</v>
      </c>
      <c r="K169" s="45" t="str">
        <f>CONCATENATE("selected (data('",N167,"'), '1')")</f>
        <v>selected (data('q14301_5'), '1')</v>
      </c>
      <c r="L169" s="54"/>
    </row>
    <row r="170" spans="4:25">
      <c r="J170" s="44" t="s">
        <v>20</v>
      </c>
      <c r="L170" s="54"/>
    </row>
    <row r="171" spans="4:25" ht="135">
      <c r="J171" s="176"/>
      <c r="L171" s="54" t="s">
        <v>19</v>
      </c>
      <c r="N171" s="45" t="str">
        <f>CONCATENATE("q",$I$7, "_",$I$19)</f>
        <v>q14302_5</v>
      </c>
      <c r="O171" s="70" t="str">
        <f>CONCATENATE(N171, ". ", SUBSTITUTE($E$7, "[مصدر]",$E$19))</f>
        <v xml:space="preserve">q14302_5. ما هو متوسط المبلغ المحول من المساعدة من المنظمات غير الهادفة للربح والخيرية  في الشهر (بالجنيه) ؟  
  </v>
      </c>
      <c r="P171" s="410" t="str">
        <f>CONCATENATE(N171, ". ", SUBSTITUTE($B$7, "[source]",$B$19))</f>
        <v>q14302_5. What is its value per month on average Assistance from non-profit and charitable organizations?</v>
      </c>
      <c r="Q171" s="117" t="s">
        <v>993</v>
      </c>
      <c r="R171" s="117" t="s">
        <v>553</v>
      </c>
      <c r="S171" s="117" t="str">
        <f>CONCATENATE("data('valid_overall') == 1 &amp;&amp; ",K169)</f>
        <v>data('valid_overall') == 1 &amp;&amp; selected (data('q14301_5'), '1')</v>
      </c>
      <c r="Y171" s="45" t="b">
        <v>1</v>
      </c>
    </row>
    <row r="172" spans="4:25" ht="90">
      <c r="J172" s="176"/>
      <c r="L172" s="54" t="s">
        <v>18</v>
      </c>
      <c r="M172" s="45" t="s">
        <v>17</v>
      </c>
      <c r="N172" s="45" t="str">
        <f>CONCATENATE("q",$I$8, "_",$I$19)</f>
        <v>q14303_5</v>
      </c>
      <c r="O172" s="70" t="str">
        <f>CONCATENATE(N172, ". ", SUBSTITUTE($E$8, "[مصدر]",$E$19))</f>
        <v>q14303_5. هل يتلقى شخص معين في الأسرة المساعدة من المنظمات غير الهادفة للربح والخيرية؟</v>
      </c>
      <c r="P172" s="410" t="str">
        <f>CONCATENATE(N172, ". ", SUBSTITUTE($B$8, "[source]",$B$19))</f>
        <v xml:space="preserve">q14303_5. Does Assistance from non-profit and charitable organizations accrue to a specific member of the household? </v>
      </c>
      <c r="S172" s="117" t="str">
        <f>CONCATENATE("data('valid_overall') == 1 &amp;&amp; ",K169)</f>
        <v>data('valid_overall') == 1 &amp;&amp; selected (data('q14301_5'), '1')</v>
      </c>
      <c r="Y172" s="45" t="b">
        <v>1</v>
      </c>
    </row>
    <row r="173" spans="4:25">
      <c r="J173" s="44" t="s">
        <v>21</v>
      </c>
      <c r="L173" s="54"/>
      <c r="O173" s="70"/>
      <c r="P173" s="410"/>
    </row>
    <row r="174" spans="4:25">
      <c r="J174" s="178" t="s">
        <v>24</v>
      </c>
      <c r="L174" s="54"/>
      <c r="O174" s="70"/>
      <c r="P174" s="410"/>
    </row>
    <row r="175" spans="4:25">
      <c r="J175" s="178" t="s">
        <v>23</v>
      </c>
      <c r="K175" s="45" t="str">
        <f>CONCATENATE("selected (data('",N172,"'), '1') &amp;&amp; ",K169)</f>
        <v>selected (data('q14303_5'), '1') &amp;&amp; selected (data('q14301_5'), '1')</v>
      </c>
      <c r="L175" s="54"/>
    </row>
    <row r="176" spans="4:25" ht="75">
      <c r="J176" s="176"/>
      <c r="L176" s="54" t="s">
        <v>174</v>
      </c>
      <c r="M176" s="45" t="s">
        <v>206</v>
      </c>
      <c r="N176" s="45" t="str">
        <f>CONCATENATE("q",$I$9, "_",$I$19, "a")</f>
        <v>q14304_5a</v>
      </c>
      <c r="O176" s="70" t="str">
        <f>CONCATENATE(N176, ". ", SUBSTITUTE($E$9, "[مصدر]",$E$19))</f>
        <v xml:space="preserve">q14304_5a. من من أفراد الأسرة يتلقى المساعدة من المنظمات غير الهادفة للربح والخيرية؟  أول فرد </v>
      </c>
      <c r="P176" s="410" t="str">
        <f>CONCATENATE(N176, ". ", SUBSTITUTE($B$9, "[source]",$B$19))</f>
        <v>q14304_5a. Who receives Assistance from non-profit and charitable organizations? First member</v>
      </c>
      <c r="S176" s="117" t="str">
        <f>CONCATENATE(K175, "&amp;&amp; data('valid_overall') ==1")</f>
        <v>selected (data('q14303_5'), '1') &amp;&amp; selected (data('q14301_5'), '1')&amp;&amp; data('valid_overall') ==1</v>
      </c>
      <c r="Y176" s="45" t="b">
        <v>1</v>
      </c>
    </row>
    <row r="177" spans="10:25">
      <c r="J177" s="178" t="s">
        <v>24</v>
      </c>
      <c r="L177" s="54"/>
      <c r="O177" s="70"/>
      <c r="P177" s="410"/>
    </row>
    <row r="178" spans="10:25">
      <c r="L178" s="54"/>
      <c r="O178" s="70"/>
      <c r="P178" s="410"/>
    </row>
    <row r="179" spans="10:25">
      <c r="J179" s="178" t="s">
        <v>23</v>
      </c>
      <c r="K179" s="45" t="str">
        <f>K175</f>
        <v>selected (data('q14303_5'), '1') &amp;&amp; selected (data('q14301_5'), '1')</v>
      </c>
      <c r="L179" s="54"/>
      <c r="O179" s="70"/>
      <c r="P179" s="410"/>
    </row>
    <row r="180" spans="10:25">
      <c r="J180" s="44" t="s">
        <v>20</v>
      </c>
      <c r="L180" s="54"/>
      <c r="O180" s="70"/>
      <c r="P180" s="410"/>
    </row>
    <row r="181" spans="10:25">
      <c r="L181" s="174" t="s">
        <v>413</v>
      </c>
      <c r="M181" s="169" t="str">
        <f>CONCATENATE(M176,"_line_",N176)</f>
        <v>roster_line_q14304_5a</v>
      </c>
      <c r="N181" s="174" t="str">
        <f>CONCATENATE(N176,"_1")</f>
        <v>q14304_5a_1</v>
      </c>
      <c r="S181" s="117" t="str">
        <f>S176</f>
        <v>selected (data('q14303_5'), '1') &amp;&amp; selected (data('q14301_5'), '1')&amp;&amp; data('valid_overall') ==1</v>
      </c>
      <c r="Y181" s="45" t="b">
        <v>1</v>
      </c>
    </row>
    <row r="182" spans="10:25" ht="75">
      <c r="J182" s="44"/>
      <c r="L182" s="174" t="s">
        <v>18</v>
      </c>
      <c r="M182" s="169" t="s">
        <v>17</v>
      </c>
      <c r="N182" s="45" t="str">
        <f>CONCATENATE("q",$I$10, "_",$I$19, "a")</f>
        <v>q14305_5a</v>
      </c>
      <c r="O182" s="70" t="str">
        <f>CONCATENATE(N182, ". ", SUBSTITUTE($E$10, "[مصدر]",$E$19))</f>
        <v>q14305_5a. هل يتلقى شخص آخر في الأسرة المساعدة من المنظمات غير الهادفة للربح والخيرية؟</v>
      </c>
      <c r="P182" s="410" t="str">
        <f>CONCATENATE(N182, ". ", SUBSTITUTE($B$10, "[source]",$B$19))</f>
        <v>q14305_5a. Does another member receive Assistance from non-profit and charitable organizations?</v>
      </c>
      <c r="S182" s="117" t="str">
        <f>CONCATENATE(K175, "&amp;&amp; data('valid_overall') ==1")</f>
        <v>selected (data('q14303_5'), '1') &amp;&amp; selected (data('q14301_5'), '1')&amp;&amp; data('valid_overall') ==1</v>
      </c>
      <c r="Y182" s="45" t="b">
        <v>1</v>
      </c>
    </row>
    <row r="183" spans="10:25">
      <c r="J183" s="44" t="s">
        <v>21</v>
      </c>
      <c r="L183" s="174"/>
      <c r="M183" s="169"/>
      <c r="N183" s="174"/>
    </row>
    <row r="184" spans="10:25">
      <c r="J184" s="178" t="s">
        <v>24</v>
      </c>
      <c r="L184" s="174"/>
      <c r="M184" s="169"/>
      <c r="N184" s="174"/>
    </row>
    <row r="185" spans="10:25">
      <c r="J185" s="178" t="s">
        <v>23</v>
      </c>
      <c r="K185" s="45" t="str">
        <f>CONCATENATE("selected (data('",N182,"'), '1') &amp;&amp; ",K175)</f>
        <v>selected (data('q14305_5a'), '1') &amp;&amp; selected (data('q14303_5'), '1') &amp;&amp; selected (data('q14301_5'), '1')</v>
      </c>
      <c r="L185" s="54"/>
    </row>
    <row r="186" spans="10:25" ht="75">
      <c r="J186" s="176"/>
      <c r="L186" s="54" t="s">
        <v>174</v>
      </c>
      <c r="M186" s="45" t="s">
        <v>206</v>
      </c>
      <c r="N186" s="45" t="str">
        <f>CONCATENATE("q",$I$9, "_",$I$19, "b")</f>
        <v>q14304_5b</v>
      </c>
      <c r="O186" s="70" t="str">
        <f>CONCATENATE(N186, ". ", SUBSTITUTE($E$11, "[مصدر]",$E$19))</f>
        <v>q14304_5b. من من أفراد الأسرة يتلقى المساعدة من المنظمات غير الهادفة للربح والخيرية؟  فرد ثانى</v>
      </c>
      <c r="P186" s="410" t="str">
        <f>CONCATENATE(N186, ". ", SUBSTITUTE($B$11, "[source]",$B$19))</f>
        <v>q14304_5b. Who receives Assistance from non-profit and charitable organizations? Second member</v>
      </c>
      <c r="S186" s="117" t="str">
        <f>CONCATENATE(K185, "&amp;&amp; data('valid_overall') ==1")</f>
        <v>selected (data('q14305_5a'), '1') &amp;&amp; selected (data('q14303_5'), '1') &amp;&amp; selected (data('q14301_5'), '1')&amp;&amp; data('valid_overall') ==1</v>
      </c>
      <c r="V186" s="31" t="str">
        <f>CONCATENATE("(data('",N181,"') != data('",N190,"')) || selected(data('",N172,"'), '2') || selected(data('",N167,"'), '2') || data('valid_overall') == 0")</f>
        <v>(data('q14304_5a_1') != data('q14304_5b_1')) || selected(data('q14303_5'), '2') || selected(data('q14301_5'), '2') || data('valid_overall') == 0</v>
      </c>
      <c r="W186" s="31" t="s">
        <v>994</v>
      </c>
      <c r="X186" s="31" t="s">
        <v>555</v>
      </c>
      <c r="Y186" s="45" t="b">
        <v>1</v>
      </c>
    </row>
    <row r="187" spans="10:25">
      <c r="J187" s="178" t="s">
        <v>24</v>
      </c>
      <c r="L187" s="54"/>
      <c r="O187" s="70"/>
      <c r="P187" s="410"/>
      <c r="V187" s="31"/>
      <c r="W187" s="31"/>
      <c r="X187" s="31"/>
    </row>
    <row r="188" spans="10:25">
      <c r="J188" s="178" t="s">
        <v>23</v>
      </c>
      <c r="K188" s="45" t="str">
        <f>K185</f>
        <v>selected (data('q14305_5a'), '1') &amp;&amp; selected (data('q14303_5'), '1') &amp;&amp; selected (data('q14301_5'), '1')</v>
      </c>
      <c r="L188" s="54"/>
      <c r="O188" s="70"/>
      <c r="P188" s="410"/>
      <c r="V188" s="31"/>
      <c r="W188" s="31"/>
      <c r="X188" s="31"/>
    </row>
    <row r="189" spans="10:25">
      <c r="J189" s="44" t="s">
        <v>20</v>
      </c>
      <c r="L189" s="54"/>
      <c r="O189" s="70"/>
      <c r="P189" s="410"/>
      <c r="V189" s="31"/>
      <c r="W189" s="31"/>
      <c r="X189" s="31"/>
    </row>
    <row r="190" spans="10:25">
      <c r="L190" s="174" t="s">
        <v>413</v>
      </c>
      <c r="M190" s="169" t="str">
        <f>CONCATENATE(M186,"_line_",N186)</f>
        <v>roster_line_q14304_5b</v>
      </c>
      <c r="N190" s="174" t="str">
        <f>CONCATENATE(N186,"_1")</f>
        <v>q14304_5b_1</v>
      </c>
      <c r="S190" s="117" t="str">
        <f>S186</f>
        <v>selected (data('q14305_5a'), '1') &amp;&amp; selected (data('q14303_5'), '1') &amp;&amp; selected (data('q14301_5'), '1')&amp;&amp; data('valid_overall') ==1</v>
      </c>
      <c r="Y190" s="45" t="b">
        <v>1</v>
      </c>
    </row>
    <row r="191" spans="10:25" ht="75">
      <c r="J191" s="44"/>
      <c r="L191" s="174" t="s">
        <v>18</v>
      </c>
      <c r="M191" s="169" t="s">
        <v>17</v>
      </c>
      <c r="N191" s="45" t="str">
        <f>CONCATENATE("q",$I$10, "_",$I$19, "b")</f>
        <v>q14305_5b</v>
      </c>
      <c r="O191" s="70" t="str">
        <f>CONCATENATE(N191, ". ", SUBSTITUTE($E$12, "[مصدر]",$E$19))</f>
        <v>q14305_5b. هل يتلقى شخص آخر في الأسرة المساعدة من المنظمات غير الهادفة للربح والخيرية؟</v>
      </c>
      <c r="P191" s="410" t="str">
        <f>CONCATENATE(N191, ". ", SUBSTITUTE($B$12, "[source]",$B$19))</f>
        <v>q14305_5b. Does another member receive Assistance from non-profit and charitable organizations?</v>
      </c>
      <c r="S191" s="117" t="str">
        <f>CONCATENATE(K185, "&amp;&amp; data('valid_overall') ==1")</f>
        <v>selected (data('q14305_5a'), '1') &amp;&amp; selected (data('q14303_5'), '1') &amp;&amp; selected (data('q14301_5'), '1')&amp;&amp; data('valid_overall') ==1</v>
      </c>
      <c r="Y191" s="45" t="b">
        <v>1</v>
      </c>
    </row>
    <row r="192" spans="10:25">
      <c r="J192" s="44" t="s">
        <v>21</v>
      </c>
      <c r="L192" s="174"/>
      <c r="M192" s="169"/>
      <c r="O192" s="70"/>
      <c r="P192" s="410"/>
    </row>
    <row r="193" spans="4:25">
      <c r="J193" s="178" t="s">
        <v>24</v>
      </c>
      <c r="L193" s="174"/>
      <c r="M193" s="169"/>
      <c r="N193" s="174"/>
    </row>
    <row r="194" spans="4:25">
      <c r="J194" s="178" t="s">
        <v>23</v>
      </c>
      <c r="K194" s="45" t="str">
        <f>CONCATENATE("selected (data('",N191,"'), '1') &amp;&amp; ",K185)</f>
        <v>selected (data('q14305_5b'), '1') &amp;&amp; selected (data('q14305_5a'), '1') &amp;&amp; selected (data('q14303_5'), '1') &amp;&amp; selected (data('q14301_5'), '1')</v>
      </c>
      <c r="L194" s="174"/>
      <c r="M194" s="169"/>
      <c r="N194" s="174"/>
    </row>
    <row r="195" spans="4:25" ht="165">
      <c r="J195" s="44"/>
      <c r="L195" s="54" t="s">
        <v>174</v>
      </c>
      <c r="M195" s="45" t="s">
        <v>206</v>
      </c>
      <c r="N195" s="45" t="str">
        <f>CONCATENATE("q",$I$9, "_",$I$19, "c")</f>
        <v>q14304_5c</v>
      </c>
      <c r="O195" s="70" t="str">
        <f>CONCATENATE(N195, ". ", SUBSTITUTE($E$13, "[مصدر]",$E$19))</f>
        <v>q14304_5c. من من أفراد الأسرة يتلقى المساعدة من المنظمات غير الهادفة للربح والخيرية؟  فرد ثالث</v>
      </c>
      <c r="P195" s="410" t="str">
        <f>CONCATENATE(N195, ". ", SUBSTITUTE($B$13, "[source]",$B$19))</f>
        <v>q14304_5c. Who receives Assistance from non-profit and charitable organizations? Third member</v>
      </c>
      <c r="S195" s="117" t="str">
        <f>CONCATENATE(K194, "&amp;&amp; data('valid_overall') ==1")</f>
        <v>selected (data('q14305_5b'), '1') &amp;&amp; selected (data('q14305_5a'), '1') &amp;&amp; selected (data('q14303_5'), '1') &amp;&amp; selected (data('q14301_5'), '1')&amp;&amp; data('valid_overall') ==1</v>
      </c>
      <c r="V195" s="31" t="str">
        <f>CONCATENATE("((data('",N190,"') != data('",N181,"')) &amp;&amp; (data('",N200,"') != data('",N181,"')) &amp;&amp; (data('",N190,"') != data('",N200,"')))  || selected(data('",N182,"'), '2')  || selected(data('",N191,"'), '2')  || selected(data('",N172,"'), '2') || selected(data('",N167,"'), '2')  || data('valid_overall') == 0 ")</f>
        <v xml:space="preserve">((data('q14304_5b_1') != data('q14304_5a_1')) &amp;&amp; (data('q14304_5c_1') != data('q14304_5a_1')) &amp;&amp; (data('q14304_5b_1') != data('q14304_5c_1')))  || selected(data('q14305_5a'), '2')  || selected(data('q14305_5b'), '2')  || selected(data('q14303_5'), '2') || selected(data('q14301_5'), '2')  || data('valid_overall') == 0 </v>
      </c>
      <c r="W195" s="31" t="s">
        <v>994</v>
      </c>
      <c r="X195" s="31" t="s">
        <v>555</v>
      </c>
      <c r="Y195" s="45" t="b">
        <v>1</v>
      </c>
    </row>
    <row r="196" spans="4:25">
      <c r="J196" s="178" t="s">
        <v>24</v>
      </c>
      <c r="L196" s="54"/>
      <c r="O196" s="70"/>
      <c r="P196" s="410"/>
      <c r="V196" s="31"/>
      <c r="W196" s="31"/>
      <c r="X196" s="31"/>
    </row>
    <row r="197" spans="4:25">
      <c r="J197" s="44" t="s">
        <v>20</v>
      </c>
      <c r="L197" s="54"/>
      <c r="O197" s="70"/>
      <c r="P197" s="410"/>
      <c r="V197" s="31"/>
      <c r="W197" s="31"/>
      <c r="X197" s="31"/>
    </row>
    <row r="198" spans="4:25">
      <c r="J198" s="178" t="s">
        <v>23</v>
      </c>
      <c r="K198" s="45" t="str">
        <f>K194</f>
        <v>selected (data('q14305_5b'), '1') &amp;&amp; selected (data('q14305_5a'), '1') &amp;&amp; selected (data('q14303_5'), '1') &amp;&amp; selected (data('q14301_5'), '1')</v>
      </c>
      <c r="L198" s="54"/>
      <c r="O198" s="70"/>
      <c r="P198" s="410"/>
      <c r="V198" s="31"/>
      <c r="W198" s="31"/>
      <c r="X198" s="31"/>
    </row>
    <row r="199" spans="4:25">
      <c r="L199" s="54"/>
      <c r="O199" s="70"/>
      <c r="P199" s="410"/>
      <c r="V199" s="31"/>
      <c r="W199" s="31"/>
      <c r="X199" s="31"/>
    </row>
    <row r="200" spans="4:25">
      <c r="J200" s="44"/>
      <c r="L200" s="174" t="s">
        <v>413</v>
      </c>
      <c r="M200" s="169" t="str">
        <f>CONCATENATE(M195,"_line_",N195)</f>
        <v>roster_line_q14304_5c</v>
      </c>
      <c r="N200" s="174" t="str">
        <f>CONCATENATE(N195,"_1")</f>
        <v>q14304_5c_1</v>
      </c>
      <c r="S200" s="117" t="str">
        <f>S195</f>
        <v>selected (data('q14305_5b'), '1') &amp;&amp; selected (data('q14305_5a'), '1') &amp;&amp; selected (data('q14303_5'), '1') &amp;&amp; selected (data('q14301_5'), '1')&amp;&amp; data('valid_overall') ==1</v>
      </c>
      <c r="Y200" s="45" t="b">
        <v>1</v>
      </c>
    </row>
    <row r="201" spans="4:25">
      <c r="J201" s="178" t="s">
        <v>24</v>
      </c>
    </row>
    <row r="202" spans="4:25" ht="135">
      <c r="D202" s="117"/>
      <c r="G202" s="118"/>
      <c r="L202" s="54" t="s">
        <v>18</v>
      </c>
      <c r="M202" s="45" t="s">
        <v>17</v>
      </c>
      <c r="N202" s="45" t="str">
        <f>CONCATENATE("q",$I$6, "_",$I$20)</f>
        <v>q14301_6</v>
      </c>
      <c r="O202" s="70" t="str">
        <f>CONCATENATE(N202, ". ", SUBSTITUTE($E$6, "[مصدر]",$E$20))</f>
        <v xml:space="preserve">q14301_6. خلال الـ12 شهر الماضية، هل تلقى أي فرد من أفراد الأسرة أي تحويلات من الدخل من الإيجار (المباني والأراضي وغيرها) ؟  
  </v>
      </c>
      <c r="P202" s="410" t="str">
        <f>CONCATENATE(N202, ". ", SUBSTITUTE($B$6, "[source]",$B$20))</f>
        <v>q14301_6. Over the past twelve months, did the household have any family members receive any transfers from Income from rent (buildings, land, etc.)?</v>
      </c>
      <c r="S202" s="117" t="s">
        <v>587</v>
      </c>
    </row>
    <row r="203" spans="4:25">
      <c r="J203" s="45" t="s">
        <v>21</v>
      </c>
      <c r="L203" s="54"/>
    </row>
    <row r="204" spans="4:25">
      <c r="J204" s="178" t="s">
        <v>23</v>
      </c>
      <c r="K204" s="45" t="str">
        <f>CONCATENATE("selected (data('",N202,"'), '1')")</f>
        <v>selected (data('q14301_6'), '1')</v>
      </c>
      <c r="L204" s="54"/>
    </row>
    <row r="205" spans="4:25">
      <c r="J205" s="44" t="s">
        <v>20</v>
      </c>
      <c r="L205" s="54"/>
    </row>
    <row r="206" spans="4:25" ht="135">
      <c r="J206" s="176"/>
      <c r="L206" s="54" t="s">
        <v>19</v>
      </c>
      <c r="N206" s="45" t="str">
        <f>CONCATENATE("q",$I$7, "_",$I$20)</f>
        <v>q14302_6</v>
      </c>
      <c r="O206" s="70" t="str">
        <f>CONCATENATE(N206, ". ", SUBSTITUTE($E$7, "[مصدر]",$E$20))</f>
        <v xml:space="preserve">q14302_6. ما هو متوسط المبلغ المحول من الدخل من الإيجار (المباني والأراضي وغيرها)  في الشهر (بالجنيه) ؟  
  </v>
      </c>
      <c r="P206" s="410" t="str">
        <f>CONCATENATE(N206, ". ", SUBSTITUTE($B$7, "[source]",$B$20))</f>
        <v>q14302_6. What is its value per month on average Income from rent (buildings, land, etc.)?</v>
      </c>
      <c r="Q206" s="117" t="s">
        <v>993</v>
      </c>
      <c r="R206" s="117" t="s">
        <v>553</v>
      </c>
      <c r="S206" s="117" t="str">
        <f>CONCATENATE("data('valid_overall') == 1 &amp;&amp; ",K204)</f>
        <v>data('valid_overall') == 1 &amp;&amp; selected (data('q14301_6'), '1')</v>
      </c>
      <c r="Y206" s="45" t="b">
        <v>1</v>
      </c>
    </row>
    <row r="207" spans="4:25" ht="75">
      <c r="J207" s="176"/>
      <c r="L207" s="54" t="s">
        <v>18</v>
      </c>
      <c r="M207" s="45" t="s">
        <v>17</v>
      </c>
      <c r="N207" s="45" t="str">
        <f>CONCATENATE("q",$I$8, "_",$I$20)</f>
        <v>q14303_6</v>
      </c>
      <c r="O207" s="70" t="str">
        <f>CONCATENATE(N207, ". ", SUBSTITUTE($E$8, "[مصدر]",$E$20))</f>
        <v>q14303_6. هل يتلقى شخص معين في الأسرة الدخل من الإيجار (المباني والأراضي وغيرها)؟</v>
      </c>
      <c r="P207" s="410" t="str">
        <f>CONCATENATE(N207, ". ", SUBSTITUTE($B$8, "[source]",$B$20))</f>
        <v xml:space="preserve">q14303_6. Does Income from rent (buildings, land, etc.) accrue to a specific member of the household? </v>
      </c>
      <c r="S207" s="117" t="str">
        <f>CONCATENATE("data('valid_overall') == 1 &amp;&amp; ",K204)</f>
        <v>data('valid_overall') == 1 &amp;&amp; selected (data('q14301_6'), '1')</v>
      </c>
      <c r="Y207" s="45" t="b">
        <v>1</v>
      </c>
    </row>
    <row r="208" spans="4:25">
      <c r="J208" s="44" t="s">
        <v>21</v>
      </c>
      <c r="L208" s="54"/>
      <c r="O208" s="70"/>
      <c r="P208" s="410"/>
    </row>
    <row r="209" spans="10:25">
      <c r="J209" s="178" t="s">
        <v>24</v>
      </c>
      <c r="L209" s="54"/>
      <c r="O209" s="70"/>
      <c r="P209" s="410"/>
    </row>
    <row r="210" spans="10:25">
      <c r="J210" s="178" t="s">
        <v>23</v>
      </c>
      <c r="K210" s="45" t="str">
        <f>CONCATENATE("selected (data('",N207,"'), '1') &amp;&amp; ",K204)</f>
        <v>selected (data('q14303_6'), '1') &amp;&amp; selected (data('q14301_6'), '1')</v>
      </c>
      <c r="L210" s="54"/>
    </row>
    <row r="211" spans="10:25" ht="60">
      <c r="J211" s="176"/>
      <c r="L211" s="54" t="s">
        <v>174</v>
      </c>
      <c r="M211" s="45" t="s">
        <v>206</v>
      </c>
      <c r="N211" s="45" t="str">
        <f>CONCATENATE("q",$I$9, "_",$I$20, "a")</f>
        <v>q14304_6a</v>
      </c>
      <c r="O211" s="70" t="str">
        <f>CONCATENATE(N211, ". ", SUBSTITUTE($E$9, "[مصدر]",$E$20))</f>
        <v xml:space="preserve">q14304_6a. من من أفراد الأسرة يتلقى الدخل من الإيجار (المباني والأراضي وغيرها)؟  أول فرد </v>
      </c>
      <c r="P211" s="410" t="str">
        <f>CONCATENATE(N211, ". ", SUBSTITUTE($B$9, "[source]",$B$20))</f>
        <v>q14304_6a. Who receives Income from rent (buildings, land, etc.)? First member</v>
      </c>
      <c r="S211" s="117" t="str">
        <f>CONCATENATE(K210, "&amp;&amp; data('valid_overall') ==1")</f>
        <v>selected (data('q14303_6'), '1') &amp;&amp; selected (data('q14301_6'), '1')&amp;&amp; data('valid_overall') ==1</v>
      </c>
      <c r="Y211" s="45" t="b">
        <v>1</v>
      </c>
    </row>
    <row r="212" spans="10:25">
      <c r="J212" s="178" t="s">
        <v>24</v>
      </c>
      <c r="L212" s="54"/>
      <c r="O212" s="70"/>
      <c r="P212" s="410"/>
    </row>
    <row r="213" spans="10:25">
      <c r="L213" s="54"/>
      <c r="O213" s="70"/>
      <c r="P213" s="410"/>
    </row>
    <row r="214" spans="10:25">
      <c r="J214" s="178" t="s">
        <v>23</v>
      </c>
      <c r="K214" s="45" t="str">
        <f>K210</f>
        <v>selected (data('q14303_6'), '1') &amp;&amp; selected (data('q14301_6'), '1')</v>
      </c>
      <c r="L214" s="54"/>
      <c r="O214" s="70"/>
      <c r="P214" s="410"/>
    </row>
    <row r="215" spans="10:25">
      <c r="J215" s="44" t="s">
        <v>20</v>
      </c>
      <c r="L215" s="54"/>
      <c r="O215" s="70"/>
      <c r="P215" s="410"/>
    </row>
    <row r="216" spans="10:25">
      <c r="L216" s="174" t="s">
        <v>413</v>
      </c>
      <c r="M216" s="169" t="str">
        <f>CONCATENATE(M211,"_line_",N211)</f>
        <v>roster_line_q14304_6a</v>
      </c>
      <c r="N216" s="174" t="str">
        <f>CONCATENATE(N211,"_1")</f>
        <v>q14304_6a_1</v>
      </c>
      <c r="S216" s="117" t="str">
        <f>S211</f>
        <v>selected (data('q14303_6'), '1') &amp;&amp; selected (data('q14301_6'), '1')&amp;&amp; data('valid_overall') ==1</v>
      </c>
      <c r="Y216" s="45" t="b">
        <v>1</v>
      </c>
    </row>
    <row r="217" spans="10:25" ht="60">
      <c r="J217" s="44"/>
      <c r="L217" s="174" t="s">
        <v>18</v>
      </c>
      <c r="M217" s="169" t="s">
        <v>17</v>
      </c>
      <c r="N217" s="45" t="str">
        <f>CONCATENATE("q",$I$10, "_",$I$20, "a")</f>
        <v>q14305_6a</v>
      </c>
      <c r="O217" s="70" t="str">
        <f>CONCATENATE(N217, ". ", SUBSTITUTE($E$10, "[مصدر]",$E$20))</f>
        <v>q14305_6a. هل يتلقى شخص آخر في الأسرة الدخل من الإيجار (المباني والأراضي وغيرها)؟</v>
      </c>
      <c r="P217" s="410" t="str">
        <f>CONCATENATE(N217, ". ", SUBSTITUTE($B$10, "[source]",$B$20))</f>
        <v>q14305_6a. Does another member receive Income from rent (buildings, land, etc.)?</v>
      </c>
      <c r="S217" s="117" t="str">
        <f>CONCATENATE(K210, "&amp;&amp; data('valid_overall') ==1")</f>
        <v>selected (data('q14303_6'), '1') &amp;&amp; selected (data('q14301_6'), '1')&amp;&amp; data('valid_overall') ==1</v>
      </c>
      <c r="Y217" s="45" t="b">
        <v>1</v>
      </c>
    </row>
    <row r="218" spans="10:25">
      <c r="J218" s="44" t="s">
        <v>21</v>
      </c>
      <c r="L218" s="174"/>
      <c r="M218" s="169"/>
      <c r="N218" s="174"/>
    </row>
    <row r="219" spans="10:25">
      <c r="J219" s="178" t="s">
        <v>24</v>
      </c>
      <c r="L219" s="174"/>
      <c r="M219" s="169"/>
      <c r="N219" s="174"/>
    </row>
    <row r="220" spans="10:25">
      <c r="J220" s="178" t="s">
        <v>23</v>
      </c>
      <c r="K220" s="45" t="str">
        <f>CONCATENATE("selected (data('",N217,"'), '1') &amp;&amp; ",K210)</f>
        <v>selected (data('q14305_6a'), '1') &amp;&amp; selected (data('q14303_6'), '1') &amp;&amp; selected (data('q14301_6'), '1')</v>
      </c>
      <c r="L220" s="54"/>
    </row>
    <row r="221" spans="10:25" ht="75">
      <c r="J221" s="176"/>
      <c r="L221" s="54" t="s">
        <v>174</v>
      </c>
      <c r="M221" s="45" t="s">
        <v>206</v>
      </c>
      <c r="N221" s="45" t="str">
        <f>CONCATENATE("q",$I$9, "_",$I$20, "b")</f>
        <v>q14304_6b</v>
      </c>
      <c r="O221" s="70" t="str">
        <f>CONCATENATE(N221, ". ", SUBSTITUTE($E$11, "[مصدر]",$E$20))</f>
        <v>q14304_6b. من من أفراد الأسرة يتلقى الدخل من الإيجار (المباني والأراضي وغيرها)؟  فرد ثانى</v>
      </c>
      <c r="P221" s="410" t="str">
        <f>CONCATENATE(N221, ". ", SUBSTITUTE($B$11, "[source]",$B$20))</f>
        <v>q14304_6b. Who receives Income from rent (buildings, land, etc.)? Second member</v>
      </c>
      <c r="S221" s="117" t="str">
        <f>CONCATENATE(K220, "&amp;&amp; data('valid_overall') ==1")</f>
        <v>selected (data('q14305_6a'), '1') &amp;&amp; selected (data('q14303_6'), '1') &amp;&amp; selected (data('q14301_6'), '1')&amp;&amp; data('valid_overall') ==1</v>
      </c>
      <c r="V221" s="31" t="str">
        <f>CONCATENATE("(data('",N216,"') != data('",N225,"')) || selected(data('",N207,"'), '2') || selected(data('",N202,"'), '2') || data('valid_overall') == 0")</f>
        <v>(data('q14304_6a_1') != data('q14304_6b_1')) || selected(data('q14303_6'), '2') || selected(data('q14301_6'), '2') || data('valid_overall') == 0</v>
      </c>
      <c r="W221" s="31" t="s">
        <v>994</v>
      </c>
      <c r="X221" s="31" t="s">
        <v>555</v>
      </c>
      <c r="Y221" s="45" t="b">
        <v>1</v>
      </c>
    </row>
    <row r="222" spans="10:25">
      <c r="J222" s="178" t="s">
        <v>24</v>
      </c>
      <c r="L222" s="54"/>
      <c r="O222" s="70"/>
      <c r="P222" s="410"/>
      <c r="V222" s="31"/>
      <c r="W222" s="31"/>
      <c r="X222" s="31"/>
    </row>
    <row r="223" spans="10:25">
      <c r="J223" s="178" t="s">
        <v>23</v>
      </c>
      <c r="K223" s="45" t="str">
        <f>K220</f>
        <v>selected (data('q14305_6a'), '1') &amp;&amp; selected (data('q14303_6'), '1') &amp;&amp; selected (data('q14301_6'), '1')</v>
      </c>
      <c r="L223" s="54"/>
      <c r="O223" s="70"/>
      <c r="P223" s="410"/>
      <c r="V223" s="31"/>
      <c r="W223" s="31"/>
      <c r="X223" s="31"/>
    </row>
    <row r="224" spans="10:25">
      <c r="J224" s="44" t="s">
        <v>20</v>
      </c>
      <c r="L224" s="54"/>
      <c r="O224" s="70"/>
      <c r="P224" s="410"/>
      <c r="V224" s="31"/>
      <c r="W224" s="31"/>
      <c r="X224" s="31"/>
    </row>
    <row r="225" spans="4:25">
      <c r="L225" s="174" t="s">
        <v>413</v>
      </c>
      <c r="M225" s="169" t="str">
        <f>CONCATENATE(M221,"_line_",N221)</f>
        <v>roster_line_q14304_6b</v>
      </c>
      <c r="N225" s="174" t="str">
        <f>CONCATENATE(N221,"_1")</f>
        <v>q14304_6b_1</v>
      </c>
      <c r="S225" s="117" t="str">
        <f>S221</f>
        <v>selected (data('q14305_6a'), '1') &amp;&amp; selected (data('q14303_6'), '1') &amp;&amp; selected (data('q14301_6'), '1')&amp;&amp; data('valid_overall') ==1</v>
      </c>
      <c r="Y225" s="45" t="b">
        <v>1</v>
      </c>
    </row>
    <row r="226" spans="4:25" ht="60">
      <c r="J226" s="44"/>
      <c r="L226" s="174" t="s">
        <v>18</v>
      </c>
      <c r="M226" s="169" t="s">
        <v>17</v>
      </c>
      <c r="N226" s="45" t="str">
        <f>CONCATENATE("q",$I$10, "_",$I$20, "b")</f>
        <v>q14305_6b</v>
      </c>
      <c r="O226" s="70" t="str">
        <f>CONCATENATE(N226, ". ", SUBSTITUTE($E$12, "[مصدر]",$E$20))</f>
        <v>q14305_6b. هل يتلقى شخص آخر في الأسرة الدخل من الإيجار (المباني والأراضي وغيرها)؟</v>
      </c>
      <c r="P226" s="410" t="str">
        <f>CONCATENATE(N226, ". ", SUBSTITUTE($B$12, "[source]",$B$20))</f>
        <v>q14305_6b. Does another member receive Income from rent (buildings, land, etc.)?</v>
      </c>
      <c r="S226" s="117" t="str">
        <f>CONCATENATE(K220, "&amp;&amp; data('valid_overall') ==1")</f>
        <v>selected (data('q14305_6a'), '1') &amp;&amp; selected (data('q14303_6'), '1') &amp;&amp; selected (data('q14301_6'), '1')&amp;&amp; data('valid_overall') ==1</v>
      </c>
      <c r="Y226" s="45" t="b">
        <v>1</v>
      </c>
    </row>
    <row r="227" spans="4:25">
      <c r="J227" s="44" t="s">
        <v>21</v>
      </c>
      <c r="L227" s="174"/>
      <c r="M227" s="169"/>
      <c r="O227" s="70"/>
      <c r="P227" s="410"/>
    </row>
    <row r="228" spans="4:25">
      <c r="J228" s="178" t="s">
        <v>24</v>
      </c>
      <c r="L228" s="174"/>
      <c r="M228" s="169"/>
      <c r="N228" s="174"/>
    </row>
    <row r="229" spans="4:25">
      <c r="J229" s="178" t="s">
        <v>23</v>
      </c>
      <c r="K229" s="45" t="str">
        <f>CONCATENATE("selected (data('",N226,"'), '1') &amp;&amp; ",K220)</f>
        <v>selected (data('q14305_6b'), '1') &amp;&amp; selected (data('q14305_6a'), '1') &amp;&amp; selected (data('q14303_6'), '1') &amp;&amp; selected (data('q14301_6'), '1')</v>
      </c>
      <c r="L229" s="174"/>
      <c r="M229" s="169"/>
      <c r="N229" s="174"/>
    </row>
    <row r="230" spans="4:25" ht="165">
      <c r="J230" s="44"/>
      <c r="L230" s="54" t="s">
        <v>174</v>
      </c>
      <c r="M230" s="45" t="s">
        <v>206</v>
      </c>
      <c r="N230" s="45" t="str">
        <f>CONCATENATE("q",$I$9, "_",$I$20, "c")</f>
        <v>q14304_6c</v>
      </c>
      <c r="O230" s="70" t="str">
        <f>CONCATENATE(N230, ". ", SUBSTITUTE($E$13, "[مصدر]",$E$20))</f>
        <v>q14304_6c. من من أفراد الأسرة يتلقى الدخل من الإيجار (المباني والأراضي وغيرها)؟  فرد ثالث</v>
      </c>
      <c r="P230" s="410" t="str">
        <f>CONCATENATE(N230, ". ", SUBSTITUTE($B$13, "[source]",$B$20))</f>
        <v>q14304_6c. Who receives Income from rent (buildings, land, etc.)? Third member</v>
      </c>
      <c r="S230" s="117" t="str">
        <f>CONCATENATE(K229, "&amp;&amp; data('valid_overall') ==1")</f>
        <v>selected (data('q14305_6b'), '1') &amp;&amp; selected (data('q14305_6a'), '1') &amp;&amp; selected (data('q14303_6'), '1') &amp;&amp; selected (data('q14301_6'), '1')&amp;&amp; data('valid_overall') ==1</v>
      </c>
      <c r="V230" s="31" t="str">
        <f>CONCATENATE("((data('",N225,"') != data('",N216,"')) &amp;&amp; (data('",N235,"') != data('",N216,"')) &amp;&amp; (data('",N225,"') != data('",N235,"')))  || selected(data('",N217,"'), '2')  || selected(data('",N226,"'), '2')  || selected(data('",N207,"'), '2') || selected(data('",N202,"'), '2')  || data('valid_overall') == 0 ")</f>
        <v xml:space="preserve">((data('q14304_6b_1') != data('q14304_6a_1')) &amp;&amp; (data('q14304_6c_1') != data('q14304_6a_1')) &amp;&amp; (data('q14304_6b_1') != data('q14304_6c_1')))  || selected(data('q14305_6a'), '2')  || selected(data('q14305_6b'), '2')  || selected(data('q14303_6'), '2') || selected(data('q14301_6'), '2')  || data('valid_overall') == 0 </v>
      </c>
      <c r="W230" s="31" t="s">
        <v>994</v>
      </c>
      <c r="X230" s="31" t="s">
        <v>555</v>
      </c>
      <c r="Y230" s="45" t="b">
        <v>1</v>
      </c>
    </row>
    <row r="231" spans="4:25">
      <c r="J231" s="178" t="s">
        <v>24</v>
      </c>
      <c r="L231" s="54"/>
      <c r="O231" s="70"/>
      <c r="P231" s="410"/>
      <c r="V231" s="31"/>
      <c r="W231" s="31"/>
      <c r="X231" s="31"/>
    </row>
    <row r="232" spans="4:25">
      <c r="J232" s="44" t="s">
        <v>20</v>
      </c>
      <c r="L232" s="54"/>
      <c r="O232" s="70"/>
      <c r="P232" s="410"/>
      <c r="V232" s="31"/>
      <c r="W232" s="31"/>
      <c r="X232" s="31"/>
    </row>
    <row r="233" spans="4:25">
      <c r="J233" s="178" t="s">
        <v>23</v>
      </c>
      <c r="K233" s="45" t="str">
        <f>K229</f>
        <v>selected (data('q14305_6b'), '1') &amp;&amp; selected (data('q14305_6a'), '1') &amp;&amp; selected (data('q14303_6'), '1') &amp;&amp; selected (data('q14301_6'), '1')</v>
      </c>
      <c r="L233" s="54"/>
      <c r="O233" s="70"/>
      <c r="P233" s="410"/>
      <c r="V233" s="31"/>
      <c r="W233" s="31"/>
      <c r="X233" s="31"/>
    </row>
    <row r="234" spans="4:25">
      <c r="L234" s="54"/>
      <c r="O234" s="70"/>
      <c r="P234" s="410"/>
      <c r="V234" s="31"/>
      <c r="W234" s="31"/>
      <c r="X234" s="31"/>
    </row>
    <row r="235" spans="4:25">
      <c r="J235" s="44"/>
      <c r="L235" s="174" t="s">
        <v>413</v>
      </c>
      <c r="M235" s="169" t="str">
        <f>CONCATENATE(M230,"_line_",N230)</f>
        <v>roster_line_q14304_6c</v>
      </c>
      <c r="N235" s="174" t="str">
        <f>CONCATENATE(N230,"_1")</f>
        <v>q14304_6c_1</v>
      </c>
      <c r="S235" s="117" t="str">
        <f>S230</f>
        <v>selected (data('q14305_6b'), '1') &amp;&amp; selected (data('q14305_6a'), '1') &amp;&amp; selected (data('q14303_6'), '1') &amp;&amp; selected (data('q14301_6'), '1')&amp;&amp; data('valid_overall') ==1</v>
      </c>
      <c r="Y235" s="45" t="b">
        <v>1</v>
      </c>
    </row>
    <row r="236" spans="4:25">
      <c r="J236" s="178" t="s">
        <v>24</v>
      </c>
    </row>
    <row r="237" spans="4:25" ht="135">
      <c r="D237" s="117"/>
      <c r="G237" s="118"/>
      <c r="L237" s="54" t="s">
        <v>18</v>
      </c>
      <c r="M237" s="45" t="s">
        <v>17</v>
      </c>
      <c r="N237" s="45" t="str">
        <f>CONCATENATE("q",$I$6, "_",$I$21)</f>
        <v>q14301_7</v>
      </c>
      <c r="O237" s="70" t="str">
        <f>CONCATENATE(N237, ". ", SUBSTITUTE($E$6, "[مصدر]",$E$21))</f>
        <v xml:space="preserve">q14301_7. خلال الـ12 شهر الماضية، هل تلقى أي فرد من أفراد الأسرة أي تحويلات من الدخل من فوائد أو أرباح الاستثمارات المالية ؟  
  </v>
      </c>
      <c r="P237" s="410" t="str">
        <f>CONCATENATE(N237, ". ", SUBSTITUTE($B$6, "[source]",$B$21))</f>
        <v>q14301_7. Over the past twelve months, did the household have any family members receive any transfers from Income from interest or profit on financial investments?</v>
      </c>
      <c r="S237" s="117" t="s">
        <v>587</v>
      </c>
    </row>
    <row r="238" spans="4:25">
      <c r="J238" s="45" t="s">
        <v>21</v>
      </c>
      <c r="L238" s="54"/>
    </row>
    <row r="239" spans="4:25">
      <c r="J239" s="178" t="s">
        <v>23</v>
      </c>
      <c r="K239" s="45" t="str">
        <f>CONCATENATE("selected (data('",N237,"'), '1')")</f>
        <v>selected (data('q14301_7'), '1')</v>
      </c>
      <c r="L239" s="54"/>
    </row>
    <row r="240" spans="4:25">
      <c r="J240" s="44" t="s">
        <v>20</v>
      </c>
      <c r="L240" s="54"/>
    </row>
    <row r="241" spans="10:25" ht="135">
      <c r="J241" s="176"/>
      <c r="L241" s="54" t="s">
        <v>19</v>
      </c>
      <c r="N241" s="45" t="str">
        <f>CONCATENATE("q",$I$7, "_",$I$21)</f>
        <v>q14302_7</v>
      </c>
      <c r="O241" s="70" t="str">
        <f>CONCATENATE(N241, ". ", SUBSTITUTE($E$7, "[مصدر]",$E$21))</f>
        <v xml:space="preserve">q14302_7. ما هو متوسط المبلغ المحول من الدخل من فوائد أو أرباح الاستثمارات المالية  في الشهر (بالجنيه) ؟  
  </v>
      </c>
      <c r="P241" s="410" t="str">
        <f>CONCATENATE(N241, ". ", SUBSTITUTE($B$7, "[source]",$B$21))</f>
        <v>q14302_7. What is its value per month on average Income from interest or profit on financial investments?</v>
      </c>
      <c r="Q241" s="117" t="s">
        <v>993</v>
      </c>
      <c r="R241" s="117" t="s">
        <v>553</v>
      </c>
      <c r="S241" s="117" t="str">
        <f>CONCATENATE("data('valid_overall') == 1 &amp;&amp; ",K239)</f>
        <v>data('valid_overall') == 1 &amp;&amp; selected (data('q14301_7'), '1')</v>
      </c>
      <c r="Y241" s="45" t="b">
        <v>1</v>
      </c>
    </row>
    <row r="242" spans="10:25" ht="90">
      <c r="J242" s="176"/>
      <c r="L242" s="54" t="s">
        <v>18</v>
      </c>
      <c r="M242" s="45" t="s">
        <v>17</v>
      </c>
      <c r="N242" s="45" t="str">
        <f>CONCATENATE("q",$I$8, "_",$I$21)</f>
        <v>q14303_7</v>
      </c>
      <c r="O242" s="70" t="str">
        <f>CONCATENATE(N242, ". ", SUBSTITUTE($E$8, "[مصدر]",$E$21))</f>
        <v>q14303_7. هل يتلقى شخص معين في الأسرة الدخل من فوائد أو أرباح الاستثمارات المالية؟</v>
      </c>
      <c r="P242" s="410" t="str">
        <f>CONCATENATE(N242, ". ", SUBSTITUTE($B$8, "[source]",$B$21))</f>
        <v xml:space="preserve">q14303_7. Does Income from interest or profit on financial investments accrue to a specific member of the household? </v>
      </c>
      <c r="S242" s="117" t="str">
        <f>CONCATENATE("data('valid_overall') == 1 &amp;&amp; ",K239)</f>
        <v>data('valid_overall') == 1 &amp;&amp; selected (data('q14301_7'), '1')</v>
      </c>
      <c r="Y242" s="45" t="b">
        <v>1</v>
      </c>
    </row>
    <row r="243" spans="10:25">
      <c r="J243" s="44" t="s">
        <v>21</v>
      </c>
      <c r="L243" s="54"/>
      <c r="O243" s="70"/>
      <c r="P243" s="410"/>
    </row>
    <row r="244" spans="10:25">
      <c r="J244" s="178" t="s">
        <v>24</v>
      </c>
      <c r="L244" s="54"/>
      <c r="O244" s="70"/>
      <c r="P244" s="410"/>
    </row>
    <row r="245" spans="10:25">
      <c r="J245" s="178" t="s">
        <v>23</v>
      </c>
      <c r="K245" s="45" t="str">
        <f>CONCATENATE("selected (data('",N242,"'), '1') &amp;&amp; ",K239)</f>
        <v>selected (data('q14303_7'), '1') &amp;&amp; selected (data('q14301_7'), '1')</v>
      </c>
      <c r="L245" s="54"/>
    </row>
    <row r="246" spans="10:25" ht="75">
      <c r="J246" s="176"/>
      <c r="L246" s="54" t="s">
        <v>174</v>
      </c>
      <c r="M246" s="45" t="s">
        <v>206</v>
      </c>
      <c r="N246" s="45" t="str">
        <f>CONCATENATE("q",$I$9, "_",$I$21, "a")</f>
        <v>q14304_7a</v>
      </c>
      <c r="O246" s="70" t="str">
        <f>CONCATENATE(N246, ". ", SUBSTITUTE($E$9, "[مصدر]",$E$21))</f>
        <v xml:space="preserve">q14304_7a. من من أفراد الأسرة يتلقى الدخل من فوائد أو أرباح الاستثمارات المالية؟  أول فرد </v>
      </c>
      <c r="P246" s="410" t="str">
        <f>CONCATENATE(N246, ". ", SUBSTITUTE($B$9, "[source]",$B$21))</f>
        <v>q14304_7a. Who receives Income from interest or profit on financial investments? First member</v>
      </c>
      <c r="S246" s="117" t="str">
        <f>CONCATENATE(K245, "&amp;&amp; data('valid_overall') ==1")</f>
        <v>selected (data('q14303_7'), '1') &amp;&amp; selected (data('q14301_7'), '1')&amp;&amp; data('valid_overall') ==1</v>
      </c>
      <c r="Y246" s="45" t="b">
        <v>1</v>
      </c>
    </row>
    <row r="247" spans="10:25">
      <c r="J247" s="178" t="s">
        <v>24</v>
      </c>
      <c r="L247" s="54"/>
      <c r="O247" s="70"/>
      <c r="P247" s="410"/>
    </row>
    <row r="248" spans="10:25">
      <c r="L248" s="54"/>
      <c r="O248" s="70"/>
      <c r="P248" s="410"/>
    </row>
    <row r="249" spans="10:25">
      <c r="J249" s="178" t="s">
        <v>23</v>
      </c>
      <c r="K249" s="45" t="str">
        <f>K245</f>
        <v>selected (data('q14303_7'), '1') &amp;&amp; selected (data('q14301_7'), '1')</v>
      </c>
      <c r="L249" s="54"/>
      <c r="O249" s="70"/>
      <c r="P249" s="410"/>
    </row>
    <row r="250" spans="10:25">
      <c r="J250" s="44" t="s">
        <v>20</v>
      </c>
      <c r="L250" s="54"/>
      <c r="O250" s="70"/>
      <c r="P250" s="410"/>
    </row>
    <row r="251" spans="10:25">
      <c r="L251" s="174" t="s">
        <v>413</v>
      </c>
      <c r="M251" s="169" t="str">
        <f>CONCATENATE(M246,"_line_",N246)</f>
        <v>roster_line_q14304_7a</v>
      </c>
      <c r="N251" s="174" t="str">
        <f>CONCATENATE(N246,"_1")</f>
        <v>q14304_7a_1</v>
      </c>
      <c r="S251" s="117" t="str">
        <f>S246</f>
        <v>selected (data('q14303_7'), '1') &amp;&amp; selected (data('q14301_7'), '1')&amp;&amp; data('valid_overall') ==1</v>
      </c>
      <c r="Y251" s="45" t="b">
        <v>1</v>
      </c>
    </row>
    <row r="252" spans="10:25" ht="60">
      <c r="J252" s="44"/>
      <c r="L252" s="174" t="s">
        <v>18</v>
      </c>
      <c r="M252" s="169" t="s">
        <v>17</v>
      </c>
      <c r="N252" s="45" t="str">
        <f>CONCATENATE("q",$I$10, "_",$I$21, "a")</f>
        <v>q14305_7a</v>
      </c>
      <c r="O252" s="70" t="str">
        <f>CONCATENATE(N252, ". ", SUBSTITUTE($E$10, "[مصدر]",$E$21))</f>
        <v>q14305_7a. هل يتلقى شخص آخر في الأسرة الدخل من فوائد أو أرباح الاستثمارات المالية؟</v>
      </c>
      <c r="P252" s="410" t="str">
        <f>CONCATENATE(N252, ". ", SUBSTITUTE($B$10, "[source]",$B$21))</f>
        <v>q14305_7a. Does another member receive Income from interest or profit on financial investments?</v>
      </c>
      <c r="S252" s="117" t="str">
        <f>CONCATENATE(K245, "&amp;&amp; data('valid_overall') ==1")</f>
        <v>selected (data('q14303_7'), '1') &amp;&amp; selected (data('q14301_7'), '1')&amp;&amp; data('valid_overall') ==1</v>
      </c>
      <c r="Y252" s="45" t="b">
        <v>1</v>
      </c>
    </row>
    <row r="253" spans="10:25">
      <c r="J253" s="44" t="s">
        <v>21</v>
      </c>
      <c r="L253" s="174"/>
      <c r="M253" s="169"/>
      <c r="N253" s="174"/>
    </row>
    <row r="254" spans="10:25">
      <c r="J254" s="178" t="s">
        <v>24</v>
      </c>
      <c r="L254" s="174"/>
      <c r="M254" s="169"/>
      <c r="N254" s="174"/>
    </row>
    <row r="255" spans="10:25">
      <c r="J255" s="178" t="s">
        <v>23</v>
      </c>
      <c r="K255" s="45" t="str">
        <f>CONCATENATE("selected (data('",N252,"'), '1') &amp;&amp; ",K245)</f>
        <v>selected (data('q14305_7a'), '1') &amp;&amp; selected (data('q14303_7'), '1') &amp;&amp; selected (data('q14301_7'), '1')</v>
      </c>
      <c r="L255" s="54"/>
    </row>
    <row r="256" spans="10:25" ht="75">
      <c r="J256" s="176"/>
      <c r="L256" s="54" t="s">
        <v>174</v>
      </c>
      <c r="M256" s="45" t="s">
        <v>206</v>
      </c>
      <c r="N256" s="45" t="str">
        <f>CONCATENATE("q",$I$9, "_",$I$21, "b")</f>
        <v>q14304_7b</v>
      </c>
      <c r="O256" s="70" t="str">
        <f>CONCATENATE(N256, ". ", SUBSTITUTE($E$11, "[مصدر]",$E$21))</f>
        <v>q14304_7b. من من أفراد الأسرة يتلقى الدخل من فوائد أو أرباح الاستثمارات المالية؟  فرد ثانى</v>
      </c>
      <c r="P256" s="410" t="str">
        <f>CONCATENATE(N256, ". ", SUBSTITUTE($B$11, "[source]",$B$21))</f>
        <v>q14304_7b. Who receives Income from interest or profit on financial investments? Second member</v>
      </c>
      <c r="S256" s="117" t="str">
        <f>CONCATENATE(K255, "&amp;&amp; data('valid_overall') ==1")</f>
        <v>selected (data('q14305_7a'), '1') &amp;&amp; selected (data('q14303_7'), '1') &amp;&amp; selected (data('q14301_7'), '1')&amp;&amp; data('valid_overall') ==1</v>
      </c>
      <c r="V256" s="31" t="str">
        <f>CONCATENATE("(data('",N251,"') != data('",N260,"')) || selected(data('",N242,"'), '2') || selected(data('",N237,"'), '2') || data('valid_overall') == 0")</f>
        <v>(data('q14304_7a_1') != data('q14304_7b_1')) || selected(data('q14303_7'), '2') || selected(data('q14301_7'), '2') || data('valid_overall') == 0</v>
      </c>
      <c r="W256" s="31" t="s">
        <v>994</v>
      </c>
      <c r="X256" s="31" t="s">
        <v>555</v>
      </c>
      <c r="Y256" s="45" t="b">
        <v>1</v>
      </c>
    </row>
    <row r="257" spans="4:25">
      <c r="J257" s="178" t="s">
        <v>24</v>
      </c>
      <c r="L257" s="54"/>
      <c r="O257" s="70"/>
      <c r="P257" s="410"/>
      <c r="V257" s="31"/>
      <c r="W257" s="31"/>
      <c r="X257" s="31"/>
    </row>
    <row r="258" spans="4:25">
      <c r="J258" s="178" t="s">
        <v>23</v>
      </c>
      <c r="K258" s="45" t="str">
        <f>K255</f>
        <v>selected (data('q14305_7a'), '1') &amp;&amp; selected (data('q14303_7'), '1') &amp;&amp; selected (data('q14301_7'), '1')</v>
      </c>
      <c r="L258" s="54"/>
      <c r="O258" s="70"/>
      <c r="P258" s="410"/>
      <c r="V258" s="31"/>
      <c r="W258" s="31"/>
      <c r="X258" s="31"/>
    </row>
    <row r="259" spans="4:25">
      <c r="J259" s="44" t="s">
        <v>20</v>
      </c>
      <c r="L259" s="54"/>
      <c r="O259" s="70"/>
      <c r="P259" s="410"/>
      <c r="V259" s="31"/>
      <c r="W259" s="31"/>
      <c r="X259" s="31"/>
    </row>
    <row r="260" spans="4:25">
      <c r="L260" s="174" t="s">
        <v>413</v>
      </c>
      <c r="M260" s="169" t="str">
        <f>CONCATENATE(M256,"_line_",N256)</f>
        <v>roster_line_q14304_7b</v>
      </c>
      <c r="N260" s="174" t="str">
        <f>CONCATENATE(N256,"_1")</f>
        <v>q14304_7b_1</v>
      </c>
      <c r="S260" s="117" t="str">
        <f>S256</f>
        <v>selected (data('q14305_7a'), '1') &amp;&amp; selected (data('q14303_7'), '1') &amp;&amp; selected (data('q14301_7'), '1')&amp;&amp; data('valid_overall') ==1</v>
      </c>
      <c r="Y260" s="45" t="b">
        <v>1</v>
      </c>
    </row>
    <row r="261" spans="4:25" ht="60">
      <c r="J261" s="44"/>
      <c r="L261" s="174" t="s">
        <v>18</v>
      </c>
      <c r="M261" s="169" t="s">
        <v>17</v>
      </c>
      <c r="N261" s="45" t="str">
        <f>CONCATENATE("q",$I$10, "_",$I$21, "b")</f>
        <v>q14305_7b</v>
      </c>
      <c r="O261" s="70" t="str">
        <f>CONCATENATE(N261, ". ", SUBSTITUTE($E$12, "[مصدر]",$E$21))</f>
        <v>q14305_7b. هل يتلقى شخص آخر في الأسرة الدخل من فوائد أو أرباح الاستثمارات المالية؟</v>
      </c>
      <c r="P261" s="410" t="str">
        <f>CONCATENATE(N261, ". ", SUBSTITUTE($B$12, "[source]",$B$21))</f>
        <v>q14305_7b. Does another member receive Income from interest or profit on financial investments?</v>
      </c>
      <c r="S261" s="117" t="str">
        <f>CONCATENATE(K255, "&amp;&amp; data('valid_overall') ==1")</f>
        <v>selected (data('q14305_7a'), '1') &amp;&amp; selected (data('q14303_7'), '1') &amp;&amp; selected (data('q14301_7'), '1')&amp;&amp; data('valid_overall') ==1</v>
      </c>
      <c r="Y261" s="45" t="b">
        <v>1</v>
      </c>
    </row>
    <row r="262" spans="4:25">
      <c r="J262" s="44" t="s">
        <v>21</v>
      </c>
      <c r="L262" s="174"/>
      <c r="M262" s="169"/>
      <c r="O262" s="70"/>
      <c r="P262" s="410"/>
    </row>
    <row r="263" spans="4:25">
      <c r="J263" s="178" t="s">
        <v>24</v>
      </c>
      <c r="L263" s="174"/>
      <c r="M263" s="169"/>
      <c r="N263" s="174"/>
    </row>
    <row r="264" spans="4:25">
      <c r="J264" s="178" t="s">
        <v>23</v>
      </c>
      <c r="K264" s="45" t="str">
        <f>CONCATENATE("selected (data('",N261,"'), '1') &amp;&amp; ",K255)</f>
        <v>selected (data('q14305_7b'), '1') &amp;&amp; selected (data('q14305_7a'), '1') &amp;&amp; selected (data('q14303_7'), '1') &amp;&amp; selected (data('q14301_7'), '1')</v>
      </c>
      <c r="L264" s="174"/>
      <c r="M264" s="169"/>
      <c r="N264" s="174"/>
    </row>
    <row r="265" spans="4:25" ht="165">
      <c r="J265" s="44"/>
      <c r="L265" s="54" t="s">
        <v>174</v>
      </c>
      <c r="M265" s="45" t="s">
        <v>206</v>
      </c>
      <c r="N265" s="45" t="str">
        <f>CONCATENATE("q",$I$9, "_",$I$21, "c")</f>
        <v>q14304_7c</v>
      </c>
      <c r="O265" s="70" t="str">
        <f>CONCATENATE(N265, ". ", SUBSTITUTE($E$13, "[مصدر]",$E$21))</f>
        <v>q14304_7c. من من أفراد الأسرة يتلقى الدخل من فوائد أو أرباح الاستثمارات المالية؟  فرد ثالث</v>
      </c>
      <c r="P265" s="410" t="str">
        <f>CONCATENATE(N265, ". ", SUBSTITUTE($B$13, "[source]",$B$21))</f>
        <v>q14304_7c. Who receives Income from interest or profit on financial investments? Third member</v>
      </c>
      <c r="S265" s="117" t="str">
        <f>CONCATENATE(K264, "&amp;&amp; data('valid_overall') ==1")</f>
        <v>selected (data('q14305_7b'), '1') &amp;&amp; selected (data('q14305_7a'), '1') &amp;&amp; selected (data('q14303_7'), '1') &amp;&amp; selected (data('q14301_7'), '1')&amp;&amp; data('valid_overall') ==1</v>
      </c>
      <c r="V265" s="31" t="str">
        <f>CONCATENATE("((data('",N260,"') != data('",N251,"')) &amp;&amp; (data('",N270,"') != data('",N251,"')) &amp;&amp; (data('",N260,"') != data('",N270,"')))  || selected(data('",N252,"'), '2')  || selected(data('",N261,"'), '2')  || selected(data('",N242,"'), '2') || selected(data('",N237,"'), '2')  || data('valid_overall') == 0 ")</f>
        <v xml:space="preserve">((data('q14304_7b_1') != data('q14304_7a_1')) &amp;&amp; (data('q14304_7c_1') != data('q14304_7a_1')) &amp;&amp; (data('q14304_7b_1') != data('q14304_7c_1')))  || selected(data('q14305_7a'), '2')  || selected(data('q14305_7b'), '2')  || selected(data('q14303_7'), '2') || selected(data('q14301_7'), '2')  || data('valid_overall') == 0 </v>
      </c>
      <c r="W265" s="31" t="s">
        <v>994</v>
      </c>
      <c r="X265" s="31" t="s">
        <v>555</v>
      </c>
      <c r="Y265" s="45" t="b">
        <v>1</v>
      </c>
    </row>
    <row r="266" spans="4:25">
      <c r="J266" s="178" t="s">
        <v>24</v>
      </c>
      <c r="L266" s="54"/>
      <c r="O266" s="70"/>
      <c r="P266" s="410"/>
      <c r="V266" s="31"/>
      <c r="W266" s="31"/>
      <c r="X266" s="31"/>
    </row>
    <row r="267" spans="4:25">
      <c r="J267" s="44" t="s">
        <v>20</v>
      </c>
      <c r="L267" s="54"/>
      <c r="O267" s="70"/>
      <c r="P267" s="410"/>
      <c r="V267" s="31"/>
      <c r="W267" s="31"/>
      <c r="X267" s="31"/>
    </row>
    <row r="268" spans="4:25">
      <c r="J268" s="178" t="s">
        <v>23</v>
      </c>
      <c r="K268" s="45" t="str">
        <f>K264</f>
        <v>selected (data('q14305_7b'), '1') &amp;&amp; selected (data('q14305_7a'), '1') &amp;&amp; selected (data('q14303_7'), '1') &amp;&amp; selected (data('q14301_7'), '1')</v>
      </c>
      <c r="L268" s="54"/>
      <c r="O268" s="70"/>
      <c r="P268" s="410"/>
      <c r="V268" s="31"/>
      <c r="W268" s="31"/>
      <c r="X268" s="31"/>
    </row>
    <row r="269" spans="4:25">
      <c r="L269" s="54"/>
      <c r="O269" s="70"/>
      <c r="P269" s="410"/>
      <c r="V269" s="31"/>
      <c r="W269" s="31"/>
      <c r="X269" s="31"/>
    </row>
    <row r="270" spans="4:25">
      <c r="J270" s="44"/>
      <c r="L270" s="174" t="s">
        <v>413</v>
      </c>
      <c r="M270" s="169" t="str">
        <f>CONCATENATE(M265,"_line_",N265)</f>
        <v>roster_line_q14304_7c</v>
      </c>
      <c r="N270" s="174" t="str">
        <f>CONCATENATE(N265,"_1")</f>
        <v>q14304_7c_1</v>
      </c>
      <c r="S270" s="117" t="str">
        <f>S265</f>
        <v>selected (data('q14305_7b'), '1') &amp;&amp; selected (data('q14305_7a'), '1') &amp;&amp; selected (data('q14303_7'), '1') &amp;&amp; selected (data('q14301_7'), '1')&amp;&amp; data('valid_overall') ==1</v>
      </c>
      <c r="Y270" s="45" t="b">
        <v>1</v>
      </c>
    </row>
    <row r="271" spans="4:25">
      <c r="J271" s="178" t="s">
        <v>24</v>
      </c>
    </row>
    <row r="272" spans="4:25" ht="120">
      <c r="D272" s="117"/>
      <c r="G272" s="118"/>
      <c r="L272" s="54" t="s">
        <v>18</v>
      </c>
      <c r="M272" s="45" t="s">
        <v>17</v>
      </c>
      <c r="N272" s="45" t="str">
        <f>CONCATENATE("q",$I$6, "_",$I$22)</f>
        <v>q14301_8</v>
      </c>
      <c r="O272" s="70" t="str">
        <f>CONCATENATE(N272, ". ", SUBSTITUTE($E$6, "[مصدر]",$E$22))</f>
        <v xml:space="preserve">q14301_8. خلال الـ12 شهر الماضية، هل تلقى أي فرد من أفراد الأسرة أي تحويلات من بطاقة الغذاء الذكية ؟  
  </v>
      </c>
      <c r="P272" s="410" t="str">
        <f>CONCATENATE(N272, ". ", SUBSTITUTE($B$6, "[source]",$B$22))</f>
        <v>q14301_8. Over the past twelve months, did the household have any family members receive any transfers from Food smart card?</v>
      </c>
      <c r="S272" s="117" t="s">
        <v>587</v>
      </c>
    </row>
    <row r="273" spans="1:25">
      <c r="J273" s="45" t="s">
        <v>21</v>
      </c>
      <c r="L273" s="54"/>
    </row>
    <row r="274" spans="1:25">
      <c r="J274" s="178" t="s">
        <v>23</v>
      </c>
      <c r="K274" s="45" t="str">
        <f>CONCATENATE("selected (data('",N272,"'), '1')")</f>
        <v>selected (data('q14301_8'), '1')</v>
      </c>
      <c r="L274" s="54"/>
    </row>
    <row r="275" spans="1:25">
      <c r="J275" s="44" t="s">
        <v>20</v>
      </c>
      <c r="L275" s="54"/>
    </row>
    <row r="276" spans="1:25" ht="135">
      <c r="J276" s="176"/>
      <c r="L276" s="54" t="s">
        <v>19</v>
      </c>
      <c r="N276" s="45" t="str">
        <f>CONCATENATE("q",$I$7, "_",$I$22)</f>
        <v>q14302_8</v>
      </c>
      <c r="O276" s="70" t="str">
        <f>CONCATENATE(N276, ". ", SUBSTITUTE($E$7, "[مصدر]",$E$22))</f>
        <v xml:space="preserve">q14302_8. ما هو متوسط المبلغ المحول من بطاقة الغذاء الذكية  في الشهر (بالجنيه) ؟  
  </v>
      </c>
      <c r="P276" s="410" t="str">
        <f>CONCATENATE(N276, ". ", SUBSTITUTE($B$7, "[source]",$B$22))</f>
        <v>q14302_8. What is its value per month on average Food smart card?</v>
      </c>
      <c r="Q276" s="117" t="s">
        <v>993</v>
      </c>
      <c r="R276" s="117" t="s">
        <v>553</v>
      </c>
      <c r="S276" s="117" t="str">
        <f>CONCATENATE("data('valid_overall') == 1 &amp;&amp; ",K274)</f>
        <v>data('valid_overall') == 1 &amp;&amp; selected (data('q14301_8'), '1')</v>
      </c>
      <c r="Y276" s="45" t="b">
        <v>1</v>
      </c>
    </row>
    <row r="277" spans="1:25" ht="45">
      <c r="A277" s="45" t="str">
        <f>N277</f>
        <v>q14302_8a</v>
      </c>
      <c r="B277" s="117" t="s">
        <v>1345</v>
      </c>
      <c r="E277" s="117" t="s">
        <v>1509</v>
      </c>
      <c r="J277" s="176"/>
      <c r="L277" s="54" t="s">
        <v>19</v>
      </c>
      <c r="N277" s="45" t="str">
        <f>CONCATENATE(N276, "a")</f>
        <v>q14302_8a</v>
      </c>
      <c r="O277" s="70" t="str">
        <f>CONCATENATE(N277, ". ",E277)</f>
        <v>q14302_8a. كم عدد الأفراد المسجلين على بطاقة الغذاء الذكية؟</v>
      </c>
      <c r="P277" s="70" t="str">
        <f>CONCATENATE(N277, ". ",B277)</f>
        <v>q14302_8a. How many people are registered on the food smart card?</v>
      </c>
      <c r="S277" s="117" t="str">
        <f>CONCATENATE("data('valid_overall') == 1 &amp;&amp; ",K274)</f>
        <v>data('valid_overall') == 1 &amp;&amp; selected (data('q14301_8'), '1')</v>
      </c>
      <c r="Y277" s="45" t="b">
        <v>1</v>
      </c>
    </row>
    <row r="278" spans="1:25">
      <c r="J278" s="44" t="s">
        <v>21</v>
      </c>
      <c r="L278" s="54"/>
      <c r="O278" s="70"/>
      <c r="P278" s="410"/>
    </row>
    <row r="279" spans="1:25">
      <c r="J279" s="178" t="s">
        <v>24</v>
      </c>
      <c r="L279" s="54"/>
      <c r="O279" s="70"/>
      <c r="P279" s="410"/>
    </row>
    <row r="280" spans="1:25">
      <c r="J280" s="44" t="s">
        <v>20</v>
      </c>
      <c r="L280" s="54"/>
      <c r="O280" s="70"/>
      <c r="P280" s="410"/>
      <c r="V280" s="31"/>
      <c r="W280" s="31"/>
      <c r="X280" s="31"/>
    </row>
    <row r="281" spans="1:25" ht="120">
      <c r="D281" s="117"/>
      <c r="G281" s="118"/>
      <c r="L281" s="54" t="s">
        <v>18</v>
      </c>
      <c r="M281" s="45" t="s">
        <v>17</v>
      </c>
      <c r="N281" s="45" t="str">
        <f>CONCATENATE("q",$I$6, "_",$I$23)</f>
        <v>q14301_9</v>
      </c>
      <c r="O281" s="70" t="str">
        <f>CONCATENATE(N281, ". ", SUBSTITUTE($E$6, "[مصدر]",$E$23))</f>
        <v xml:space="preserve">q14301_9. خلال الـ12 شهر الماضية، هل تلقى أي فرد من أفراد الأسرة أي تحويلات من مساعدات أخرى ؟  
  </v>
      </c>
      <c r="P281" s="410" t="str">
        <f>CONCATENATE(N281, ". ", SUBSTITUTE($B$6, "[source]",$B$23))</f>
        <v>q14301_9. Over the past twelve months, did the household have any family members receive any transfers from Any other assistance?</v>
      </c>
      <c r="S281" s="117" t="s">
        <v>587</v>
      </c>
    </row>
    <row r="282" spans="1:25">
      <c r="J282" s="45" t="s">
        <v>21</v>
      </c>
      <c r="L282" s="54"/>
    </row>
    <row r="283" spans="1:25">
      <c r="J283" s="178" t="s">
        <v>23</v>
      </c>
      <c r="K283" s="45" t="str">
        <f>CONCATENATE("selected (data('",N281,"'), '1')")</f>
        <v>selected (data('q14301_9'), '1')</v>
      </c>
      <c r="L283" s="54"/>
    </row>
    <row r="284" spans="1:25">
      <c r="J284" s="44" t="s">
        <v>20</v>
      </c>
      <c r="L284" s="54"/>
    </row>
    <row r="285" spans="1:25" ht="135">
      <c r="J285" s="176"/>
      <c r="L285" s="54" t="s">
        <v>19</v>
      </c>
      <c r="N285" s="45" t="str">
        <f>CONCATENATE("q",$I$7, "_",$I$23)</f>
        <v>q14302_9</v>
      </c>
      <c r="O285" s="70" t="str">
        <f>CONCATENATE(N285, ". ", SUBSTITUTE($E$7, "[مصدر]",$E$23))</f>
        <v xml:space="preserve">q14302_9. ما هو متوسط المبلغ المحول من مساعدات أخرى  في الشهر (بالجنيه) ؟  
  </v>
      </c>
      <c r="P285" s="410" t="str">
        <f>CONCATENATE(N285, ". ", SUBSTITUTE($B$7, "[source]",$B$23))</f>
        <v>q14302_9. What is its value per month on average Any other assistance?</v>
      </c>
      <c r="Q285" s="117" t="s">
        <v>993</v>
      </c>
      <c r="R285" s="117" t="s">
        <v>553</v>
      </c>
      <c r="S285" s="117" t="str">
        <f>CONCATENATE("data('valid_overall') == 1 &amp;&amp; ",K283)</f>
        <v>data('valid_overall') == 1 &amp;&amp; selected (data('q14301_9'), '1')</v>
      </c>
      <c r="Y285" s="45" t="b">
        <v>1</v>
      </c>
    </row>
    <row r="286" spans="1:25" ht="60">
      <c r="J286" s="176"/>
      <c r="L286" s="54" t="s">
        <v>18</v>
      </c>
      <c r="M286" s="45" t="s">
        <v>17</v>
      </c>
      <c r="N286" s="45" t="str">
        <f>CONCATENATE("q",$I$8, "_",$I$23)</f>
        <v>q14303_9</v>
      </c>
      <c r="O286" s="70" t="str">
        <f>CONCATENATE(N286, ". ", SUBSTITUTE($E$8, "[مصدر]",$E$23))</f>
        <v>q14303_9. هل يتلقى شخص معين في الأسرة مساعدات أخرى؟</v>
      </c>
      <c r="P286" s="410" t="str">
        <f>CONCATENATE(N286, ". ", SUBSTITUTE($B$8, "[source]",$B$23))</f>
        <v xml:space="preserve">q14303_9. Does Any other assistance accrue to a specific member of the household? </v>
      </c>
      <c r="S286" s="117" t="str">
        <f>CONCATENATE("data('valid_overall') == 1 &amp;&amp; ",K283)</f>
        <v>data('valid_overall') == 1 &amp;&amp; selected (data('q14301_9'), '1')</v>
      </c>
      <c r="Y286" s="45" t="b">
        <v>1</v>
      </c>
    </row>
    <row r="287" spans="1:25">
      <c r="J287" s="44" t="s">
        <v>21</v>
      </c>
      <c r="L287" s="54"/>
      <c r="O287" s="70"/>
      <c r="P287" s="410"/>
    </row>
    <row r="288" spans="1:25">
      <c r="J288" s="178" t="s">
        <v>24</v>
      </c>
      <c r="L288" s="54"/>
      <c r="O288" s="70"/>
      <c r="P288" s="410"/>
    </row>
    <row r="289" spans="10:25">
      <c r="J289" s="178" t="s">
        <v>23</v>
      </c>
      <c r="K289" s="45" t="str">
        <f>CONCATENATE("selected (data('",N286,"'), '1') &amp;&amp; ",K283)</f>
        <v>selected (data('q14303_9'), '1') &amp;&amp; selected (data('q14301_9'), '1')</v>
      </c>
      <c r="L289" s="54"/>
    </row>
    <row r="290" spans="10:25" ht="45">
      <c r="J290" s="176"/>
      <c r="L290" s="54" t="s">
        <v>174</v>
      </c>
      <c r="M290" s="45" t="s">
        <v>206</v>
      </c>
      <c r="N290" s="45" t="str">
        <f>CONCATENATE("q",$I$9, "_",$I$23, "a")</f>
        <v>q14304_9a</v>
      </c>
      <c r="O290" s="70" t="str">
        <f>CONCATENATE(N290, ". ", SUBSTITUTE($E$9, "[مصدر]",$E$23))</f>
        <v xml:space="preserve">q14304_9a. من من أفراد الأسرة يتلقى مساعدات أخرى؟  أول فرد </v>
      </c>
      <c r="P290" s="410" t="str">
        <f>CONCATENATE(N290, ". ", SUBSTITUTE($B$9, "[source]",$B$23))</f>
        <v>q14304_9a. Who receives Any other assistance? First member</v>
      </c>
      <c r="S290" s="117" t="str">
        <f>CONCATENATE(K289, "&amp;&amp; data('valid_overall') ==1")</f>
        <v>selected (data('q14303_9'), '1') &amp;&amp; selected (data('q14301_9'), '1')&amp;&amp; data('valid_overall') ==1</v>
      </c>
      <c r="Y290" s="45" t="b">
        <v>1</v>
      </c>
    </row>
    <row r="291" spans="10:25">
      <c r="J291" s="178" t="s">
        <v>24</v>
      </c>
      <c r="L291" s="54"/>
      <c r="O291" s="70"/>
      <c r="P291" s="410"/>
    </row>
    <row r="292" spans="10:25">
      <c r="L292" s="54"/>
      <c r="O292" s="70"/>
      <c r="P292" s="410"/>
    </row>
    <row r="293" spans="10:25">
      <c r="J293" s="178" t="s">
        <v>23</v>
      </c>
      <c r="K293" s="45" t="str">
        <f>K289</f>
        <v>selected (data('q14303_9'), '1') &amp;&amp; selected (data('q14301_9'), '1')</v>
      </c>
      <c r="L293" s="54"/>
      <c r="O293" s="70"/>
      <c r="P293" s="410"/>
    </row>
    <row r="294" spans="10:25">
      <c r="J294" s="44" t="s">
        <v>20</v>
      </c>
      <c r="L294" s="54"/>
      <c r="O294" s="70"/>
      <c r="P294" s="410"/>
    </row>
    <row r="295" spans="10:25">
      <c r="L295" s="174" t="s">
        <v>413</v>
      </c>
      <c r="M295" s="169" t="str">
        <f>CONCATENATE(M290,"_line_",N290)</f>
        <v>roster_line_q14304_9a</v>
      </c>
      <c r="N295" s="174" t="str">
        <f>CONCATENATE(N290,"_1")</f>
        <v>q14304_9a_1</v>
      </c>
      <c r="S295" s="117" t="str">
        <f>S290</f>
        <v>selected (data('q14303_9'), '1') &amp;&amp; selected (data('q14301_9'), '1')&amp;&amp; data('valid_overall') ==1</v>
      </c>
      <c r="Y295" s="45" t="b">
        <v>1</v>
      </c>
    </row>
    <row r="296" spans="10:25" ht="45">
      <c r="J296" s="44"/>
      <c r="L296" s="174" t="s">
        <v>18</v>
      </c>
      <c r="M296" s="169" t="s">
        <v>17</v>
      </c>
      <c r="N296" s="45" t="str">
        <f>CONCATENATE("q",$I$10, "_",$I$23, "a")</f>
        <v>q14305_9a</v>
      </c>
      <c r="O296" s="70" t="str">
        <f>CONCATENATE(N296, ". ", SUBSTITUTE($E$10, "[مصدر]",$E$23))</f>
        <v>q14305_9a. هل يتلقى شخص آخر في الأسرة مساعدات أخرى؟</v>
      </c>
      <c r="P296" s="410" t="str">
        <f>CONCATENATE(N296, ". ", SUBSTITUTE($B$10, "[source]",$B$23))</f>
        <v>q14305_9a. Does another member receive Any other assistance?</v>
      </c>
      <c r="S296" s="117" t="str">
        <f>CONCATENATE(K289, "&amp;&amp; data('valid_overall') ==1")</f>
        <v>selected (data('q14303_9'), '1') &amp;&amp; selected (data('q14301_9'), '1')&amp;&amp; data('valid_overall') ==1</v>
      </c>
      <c r="Y296" s="45" t="b">
        <v>1</v>
      </c>
    </row>
    <row r="297" spans="10:25">
      <c r="J297" s="44" t="s">
        <v>21</v>
      </c>
      <c r="L297" s="174"/>
      <c r="M297" s="169"/>
      <c r="N297" s="174"/>
    </row>
    <row r="298" spans="10:25">
      <c r="J298" s="178" t="s">
        <v>24</v>
      </c>
      <c r="L298" s="174"/>
      <c r="M298" s="169"/>
      <c r="N298" s="174"/>
    </row>
    <row r="299" spans="10:25">
      <c r="J299" s="178" t="s">
        <v>23</v>
      </c>
      <c r="K299" s="45" t="str">
        <f>CONCATENATE("selected (data('",N296,"'), '1') &amp;&amp; ",K289)</f>
        <v>selected (data('q14305_9a'), '1') &amp;&amp; selected (data('q14303_9'), '1') &amp;&amp; selected (data('q14301_9'), '1')</v>
      </c>
      <c r="L299" s="54"/>
    </row>
    <row r="300" spans="10:25" ht="75">
      <c r="J300" s="176"/>
      <c r="L300" s="54" t="s">
        <v>174</v>
      </c>
      <c r="M300" s="45" t="s">
        <v>206</v>
      </c>
      <c r="N300" s="45" t="str">
        <f>CONCATENATE("q",$I$9, "_",$I$23, "b")</f>
        <v>q14304_9b</v>
      </c>
      <c r="O300" s="70" t="str">
        <f>CONCATENATE(N300, ". ", SUBSTITUTE($E$11, "[مصدر]",$E$23))</f>
        <v>q14304_9b. من من أفراد الأسرة يتلقى مساعدات أخرى؟  فرد ثانى</v>
      </c>
      <c r="P300" s="410" t="str">
        <f>CONCATENATE(N300, ". ", SUBSTITUTE($B$11, "[source]",$B$23))</f>
        <v>q14304_9b. Who receives Any other assistance? Second member</v>
      </c>
      <c r="S300" s="117" t="str">
        <f>CONCATENATE(K299, "&amp;&amp; data('valid_overall') ==1")</f>
        <v>selected (data('q14305_9a'), '1') &amp;&amp; selected (data('q14303_9'), '1') &amp;&amp; selected (data('q14301_9'), '1')&amp;&amp; data('valid_overall') ==1</v>
      </c>
      <c r="V300" s="31" t="str">
        <f>CONCATENATE("(data('",N295,"') != data('",N304,"')) || selected(data('",N286,"'), '2') || selected(data('",N281,"'), '2') || data('valid_overall') == 0")</f>
        <v>(data('q14304_9a_1') != data('q14304_9b_1')) || selected(data('q14303_9'), '2') || selected(data('q14301_9'), '2') || data('valid_overall') == 0</v>
      </c>
      <c r="W300" s="31" t="s">
        <v>994</v>
      </c>
      <c r="X300" s="31" t="s">
        <v>555</v>
      </c>
      <c r="Y300" s="45" t="b">
        <v>1</v>
      </c>
    </row>
    <row r="301" spans="10:25">
      <c r="J301" s="178" t="s">
        <v>24</v>
      </c>
      <c r="L301" s="54"/>
      <c r="O301" s="70"/>
      <c r="P301" s="410"/>
      <c r="V301" s="31"/>
      <c r="W301" s="31"/>
      <c r="X301" s="31"/>
    </row>
    <row r="302" spans="10:25">
      <c r="J302" s="178" t="s">
        <v>23</v>
      </c>
      <c r="K302" s="45" t="str">
        <f>K299</f>
        <v>selected (data('q14305_9a'), '1') &amp;&amp; selected (data('q14303_9'), '1') &amp;&amp; selected (data('q14301_9'), '1')</v>
      </c>
      <c r="L302" s="54"/>
      <c r="O302" s="70"/>
      <c r="P302" s="410"/>
      <c r="V302" s="31"/>
      <c r="W302" s="31"/>
      <c r="X302" s="31"/>
    </row>
    <row r="303" spans="10:25">
      <c r="J303" s="44" t="s">
        <v>20</v>
      </c>
      <c r="L303" s="54"/>
      <c r="O303" s="70"/>
      <c r="P303" s="410"/>
      <c r="V303" s="31"/>
      <c r="W303" s="31"/>
      <c r="X303" s="31"/>
    </row>
    <row r="304" spans="10:25">
      <c r="L304" s="174" t="s">
        <v>413</v>
      </c>
      <c r="M304" s="169" t="str">
        <f>CONCATENATE(M300,"_line_",N300)</f>
        <v>roster_line_q14304_9b</v>
      </c>
      <c r="N304" s="174" t="str">
        <f>CONCATENATE(N300,"_1")</f>
        <v>q14304_9b_1</v>
      </c>
      <c r="S304" s="117" t="str">
        <f>S300</f>
        <v>selected (data('q14305_9a'), '1') &amp;&amp; selected (data('q14303_9'), '1') &amp;&amp; selected (data('q14301_9'), '1')&amp;&amp; data('valid_overall') ==1</v>
      </c>
      <c r="Y304" s="45" t="b">
        <v>1</v>
      </c>
    </row>
    <row r="305" spans="10:25" ht="45">
      <c r="J305" s="44"/>
      <c r="L305" s="174" t="s">
        <v>18</v>
      </c>
      <c r="M305" s="169" t="s">
        <v>17</v>
      </c>
      <c r="N305" s="45" t="str">
        <f>CONCATENATE("q",$I$10, "_",$I$23, "b")</f>
        <v>q14305_9b</v>
      </c>
      <c r="O305" s="70" t="str">
        <f>CONCATENATE(N305, ". ", SUBSTITUTE($E$12, "[مصدر]",$E$23))</f>
        <v>q14305_9b. هل يتلقى شخص آخر في الأسرة مساعدات أخرى؟</v>
      </c>
      <c r="P305" s="410" t="str">
        <f>CONCATENATE(N305, ". ", SUBSTITUTE($B$12, "[source]",$B$23))</f>
        <v>q14305_9b. Does another member receive Any other assistance?</v>
      </c>
      <c r="S305" s="117" t="str">
        <f>CONCATENATE(K299, "&amp;&amp; data('valid_overall') ==1")</f>
        <v>selected (data('q14305_9a'), '1') &amp;&amp; selected (data('q14303_9'), '1') &amp;&amp; selected (data('q14301_9'), '1')&amp;&amp; data('valid_overall') ==1</v>
      </c>
      <c r="Y305" s="45" t="b">
        <v>1</v>
      </c>
    </row>
    <row r="306" spans="10:25">
      <c r="J306" s="44" t="s">
        <v>21</v>
      </c>
      <c r="L306" s="174"/>
      <c r="M306" s="169"/>
      <c r="O306" s="70"/>
      <c r="P306" s="410"/>
    </row>
    <row r="307" spans="10:25">
      <c r="J307" s="178" t="s">
        <v>24</v>
      </c>
      <c r="L307" s="174"/>
      <c r="M307" s="169"/>
      <c r="N307" s="174"/>
    </row>
    <row r="308" spans="10:25">
      <c r="J308" s="178" t="s">
        <v>23</v>
      </c>
      <c r="K308" s="45" t="str">
        <f>CONCATENATE("selected (data('",N305,"'), '1') &amp;&amp; ",K299)</f>
        <v>selected (data('q14305_9b'), '1') &amp;&amp; selected (data('q14305_9a'), '1') &amp;&amp; selected (data('q14303_9'), '1') &amp;&amp; selected (data('q14301_9'), '1')</v>
      </c>
      <c r="L308" s="174"/>
      <c r="M308" s="169"/>
      <c r="N308" s="174"/>
    </row>
    <row r="309" spans="10:25" ht="165">
      <c r="J309" s="44"/>
      <c r="L309" s="54" t="s">
        <v>174</v>
      </c>
      <c r="M309" s="45" t="s">
        <v>206</v>
      </c>
      <c r="N309" s="45" t="str">
        <f>CONCATENATE("q",$I$9, "_",$I$23, "c")</f>
        <v>q14304_9c</v>
      </c>
      <c r="O309" s="70" t="str">
        <f>CONCATENATE(N309, ". ", SUBSTITUTE($E$13, "[مصدر]",$E$23))</f>
        <v>q14304_9c. من من أفراد الأسرة يتلقى مساعدات أخرى؟  فرد ثالث</v>
      </c>
      <c r="P309" s="410" t="str">
        <f>CONCATENATE(N309, ". ", SUBSTITUTE($B$13, "[source]",$B$23))</f>
        <v>q14304_9c. Who receives Any other assistance? Third member</v>
      </c>
      <c r="S309" s="117" t="str">
        <f>CONCATENATE(K308, "&amp;&amp; data('valid_overall') ==1")</f>
        <v>selected (data('q14305_9b'), '1') &amp;&amp; selected (data('q14305_9a'), '1') &amp;&amp; selected (data('q14303_9'), '1') &amp;&amp; selected (data('q14301_9'), '1')&amp;&amp; data('valid_overall') ==1</v>
      </c>
      <c r="V309" s="31" t="str">
        <f>CONCATENATE("((data('",N304,"') != data('",N295,"')) &amp;&amp; (data('",N314,"') != data('",N295,"')) &amp;&amp; (data('",N304,"') != data('",N314,"')))  || selected(data('",N296,"'), '2')  || selected(data('",N305,"'), '2')  || selected(data('",N286,"'), '2') || selected(data('",N281,"'), '2')  || data('valid_overall') == 0 ")</f>
        <v xml:space="preserve">((data('q14304_9b_1') != data('q14304_9a_1')) &amp;&amp; (data('q14304_9c_1') != data('q14304_9a_1')) &amp;&amp; (data('q14304_9b_1') != data('q14304_9c_1')))  || selected(data('q14305_9a'), '2')  || selected(data('q14305_9b'), '2')  || selected(data('q14303_9'), '2') || selected(data('q14301_9'), '2')  || data('valid_overall') == 0 </v>
      </c>
      <c r="W309" s="31" t="s">
        <v>994</v>
      </c>
      <c r="X309" s="31" t="s">
        <v>555</v>
      </c>
      <c r="Y309" s="45" t="b">
        <v>1</v>
      </c>
    </row>
    <row r="310" spans="10:25">
      <c r="J310" s="178" t="s">
        <v>24</v>
      </c>
      <c r="L310" s="54"/>
      <c r="O310" s="70"/>
      <c r="P310" s="410"/>
      <c r="V310" s="31"/>
      <c r="W310" s="31"/>
      <c r="X310" s="31"/>
    </row>
    <row r="311" spans="10:25">
      <c r="J311" s="44" t="s">
        <v>20</v>
      </c>
      <c r="L311" s="54"/>
      <c r="O311" s="70"/>
      <c r="P311" s="410"/>
      <c r="V311" s="31"/>
      <c r="W311" s="31"/>
      <c r="X311" s="31"/>
    </row>
    <row r="312" spans="10:25">
      <c r="J312" s="178" t="s">
        <v>23</v>
      </c>
      <c r="K312" s="45" t="str">
        <f>K308</f>
        <v>selected (data('q14305_9b'), '1') &amp;&amp; selected (data('q14305_9a'), '1') &amp;&amp; selected (data('q14303_9'), '1') &amp;&amp; selected (data('q14301_9'), '1')</v>
      </c>
      <c r="L312" s="54"/>
      <c r="O312" s="70"/>
      <c r="P312" s="410"/>
      <c r="V312" s="31"/>
      <c r="W312" s="31"/>
      <c r="X312" s="31"/>
    </row>
    <row r="313" spans="10:25">
      <c r="L313" s="54"/>
      <c r="O313" s="70"/>
      <c r="P313" s="410"/>
      <c r="V313" s="31"/>
      <c r="W313" s="31"/>
      <c r="X313" s="31"/>
    </row>
    <row r="314" spans="10:25">
      <c r="J314" s="44"/>
      <c r="L314" s="174" t="s">
        <v>413</v>
      </c>
      <c r="M314" s="169" t="str">
        <f>CONCATENATE(M309,"_line_",N309)</f>
        <v>roster_line_q14304_9c</v>
      </c>
      <c r="N314" s="174" t="str">
        <f>CONCATENATE(N309,"_1")</f>
        <v>q14304_9c_1</v>
      </c>
      <c r="S314" s="117" t="str">
        <f>S309</f>
        <v>selected (data('q14305_9b'), '1') &amp;&amp; selected (data('q14305_9a'), '1') &amp;&amp; selected (data('q14303_9'), '1') &amp;&amp; selected (data('q14301_9'), '1')&amp;&amp; data('valid_overall') ==1</v>
      </c>
      <c r="Y314" s="45" t="b">
        <v>1</v>
      </c>
    </row>
    <row r="315" spans="10:25">
      <c r="J315" s="178" t="s">
        <v>24</v>
      </c>
    </row>
    <row r="316" spans="10:25">
      <c r="J316" s="45" t="s">
        <v>21</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3"/>
  <sheetViews>
    <sheetView topLeftCell="G1" workbookViewId="0">
      <pane ySplit="2" topLeftCell="A3" activePane="bottomLeft" state="frozen"/>
      <selection pane="bottomLeft" activeCell="S43" sqref="S43"/>
    </sheetView>
  </sheetViews>
  <sheetFormatPr defaultColWidth="11.42578125" defaultRowHeight="15"/>
  <cols>
    <col min="2" max="4" width="16.42578125" style="2" customWidth="1"/>
    <col min="5" max="5" width="16.42578125" style="30" customWidth="1"/>
    <col min="6" max="7" width="16.42578125" style="2" customWidth="1"/>
    <col min="8" max="8" width="14.42578125" bestFit="1" customWidth="1"/>
    <col min="11" max="11" width="11.42578125" style="12"/>
    <col min="13" max="13" width="15.42578125" bestFit="1" customWidth="1"/>
    <col min="15" max="16" width="21" style="30" customWidth="1"/>
    <col min="17" max="18" width="11.42578125" style="2"/>
    <col min="19" max="19" width="25.28515625" style="10" customWidth="1"/>
    <col min="20" max="24" width="25.28515625" style="12" customWidth="1"/>
  </cols>
  <sheetData>
    <row r="1" spans="1:27" s="332" customFormat="1" ht="45">
      <c r="A1" s="332" t="s">
        <v>5</v>
      </c>
      <c r="B1" s="94" t="s">
        <v>5</v>
      </c>
      <c r="C1" s="94" t="s">
        <v>5</v>
      </c>
      <c r="D1" s="94" t="s">
        <v>5</v>
      </c>
      <c r="E1" s="94" t="s">
        <v>5</v>
      </c>
      <c r="F1" s="94" t="s">
        <v>5</v>
      </c>
      <c r="G1" s="94" t="s">
        <v>5</v>
      </c>
      <c r="H1" s="94" t="s">
        <v>5</v>
      </c>
      <c r="I1" s="332" t="s">
        <v>5</v>
      </c>
      <c r="J1" s="334" t="s">
        <v>0</v>
      </c>
      <c r="K1" s="334" t="s">
        <v>1</v>
      </c>
      <c r="L1" s="332" t="s">
        <v>2</v>
      </c>
      <c r="M1" s="332" t="s">
        <v>3</v>
      </c>
      <c r="N1" s="94" t="s">
        <v>4</v>
      </c>
      <c r="O1" s="94" t="s">
        <v>1282</v>
      </c>
      <c r="P1" s="94" t="s">
        <v>1283</v>
      </c>
      <c r="Q1" s="62" t="s">
        <v>1286</v>
      </c>
      <c r="R1" s="62" t="s">
        <v>1287</v>
      </c>
      <c r="S1" s="422" t="s">
        <v>7</v>
      </c>
      <c r="T1" s="332" t="s">
        <v>47</v>
      </c>
      <c r="U1" s="332" t="s">
        <v>148</v>
      </c>
      <c r="V1" s="332" t="s">
        <v>25</v>
      </c>
      <c r="W1" s="52" t="s">
        <v>1288</v>
      </c>
      <c r="X1" s="52" t="s">
        <v>1289</v>
      </c>
      <c r="Y1" s="332" t="s">
        <v>6</v>
      </c>
      <c r="Z1" s="160" t="s">
        <v>374</v>
      </c>
      <c r="AA1" s="160" t="s">
        <v>375</v>
      </c>
    </row>
    <row r="2" spans="1:27" s="256" customFormat="1" ht="45">
      <c r="A2" s="102" t="s">
        <v>353</v>
      </c>
      <c r="B2" s="103" t="s">
        <v>354</v>
      </c>
      <c r="C2" s="102" t="s">
        <v>1187</v>
      </c>
      <c r="D2" s="103" t="s">
        <v>358</v>
      </c>
      <c r="E2" s="95" t="s">
        <v>355</v>
      </c>
      <c r="F2" s="102" t="s">
        <v>1186</v>
      </c>
      <c r="G2" s="79" t="s">
        <v>357</v>
      </c>
      <c r="H2" s="74" t="s">
        <v>356</v>
      </c>
      <c r="I2" s="74" t="s">
        <v>426</v>
      </c>
      <c r="J2" s="255"/>
      <c r="K2" s="255"/>
      <c r="L2" s="255"/>
      <c r="N2" s="255"/>
      <c r="O2" s="257"/>
      <c r="P2" s="257"/>
      <c r="Q2" s="257"/>
      <c r="R2" s="257"/>
      <c r="S2" s="423"/>
      <c r="Z2" s="257"/>
    </row>
    <row r="3" spans="1:27" s="256" customFormat="1">
      <c r="A3" s="104" t="s">
        <v>364</v>
      </c>
      <c r="B3" s="128" t="s">
        <v>365</v>
      </c>
      <c r="C3" s="104" t="s">
        <v>364</v>
      </c>
      <c r="D3" s="104" t="s">
        <v>365</v>
      </c>
      <c r="E3" s="128" t="s">
        <v>365</v>
      </c>
      <c r="F3" s="104" t="s">
        <v>364</v>
      </c>
      <c r="G3" s="128" t="s">
        <v>365</v>
      </c>
      <c r="H3" s="223" t="s">
        <v>364</v>
      </c>
      <c r="I3" s="223" t="s">
        <v>364</v>
      </c>
      <c r="O3" s="257"/>
      <c r="P3" s="257"/>
      <c r="Q3" s="257"/>
      <c r="R3" s="257"/>
      <c r="S3" s="424"/>
      <c r="T3" s="255"/>
      <c r="U3" s="255"/>
      <c r="V3" s="255"/>
      <c r="W3" s="255"/>
      <c r="X3" s="255"/>
      <c r="Y3" s="255"/>
      <c r="Z3" s="258"/>
    </row>
    <row r="4" spans="1:27" s="260" customFormat="1" ht="45">
      <c r="B4" s="259" t="s">
        <v>873</v>
      </c>
      <c r="C4" s="259"/>
      <c r="D4" s="259"/>
      <c r="E4" s="407" t="s">
        <v>1377</v>
      </c>
      <c r="F4" s="259"/>
      <c r="G4" s="261"/>
      <c r="H4" s="262"/>
      <c r="I4" s="263"/>
      <c r="L4" s="260" t="s">
        <v>22</v>
      </c>
      <c r="M4" s="264"/>
      <c r="O4" s="261" t="str">
        <f>E4</f>
        <v>14.4 الصدمات/المشاكل
 والتكيف معها</v>
      </c>
      <c r="P4" s="261" t="str">
        <f>B4</f>
        <v>14.4 Shocks and Coping</v>
      </c>
      <c r="Q4" s="261"/>
      <c r="R4" s="261"/>
      <c r="S4" s="425"/>
      <c r="Y4" s="262"/>
    </row>
    <row r="5" spans="1:27" s="265" customFormat="1">
      <c r="B5" s="266"/>
      <c r="C5" s="266"/>
      <c r="D5" s="266"/>
      <c r="E5" s="266"/>
      <c r="F5" s="266"/>
      <c r="G5" s="266"/>
      <c r="H5" s="266"/>
      <c r="I5" s="266">
        <v>14401</v>
      </c>
      <c r="J5" s="267" t="s">
        <v>20</v>
      </c>
      <c r="K5" s="267"/>
      <c r="L5" s="1"/>
      <c r="N5" s="267"/>
      <c r="O5" s="266"/>
      <c r="P5" s="266"/>
      <c r="Q5" s="266"/>
      <c r="R5" s="266"/>
      <c r="S5" s="426"/>
    </row>
    <row r="6" spans="1:27" s="1" customFormat="1" ht="90">
      <c r="A6" s="48" t="str">
        <f>N6</f>
        <v>q14401_1</v>
      </c>
      <c r="B6" s="31" t="s">
        <v>911</v>
      </c>
      <c r="C6" s="31"/>
      <c r="D6" s="127" t="str">
        <f>CONCATENATE(INDEX(choices!D:D,MATCH(M6,choices!A:A,0)),"
",IF(M6=INDEX(choices!A:A,MATCH(M6,choices!A:A,0)+1),INDEX(choices!D:D,MATCH(M6,choices!A:A,0)+1),""),IF(M6=INDEX(choices!A:A,MATCH(M6,choices!A:A,0)+1), "
",""),IF(M6=INDEX(choices!A:A,MATCH(M6,choices!A:A,0)+2),INDEX(choices!D:D,MATCH(M6,choices!A:A,0)+2),""),IF(M6=INDEX(choices!A:A,MATCH(M6,choices!A:A,0)+2), "
",""),IF(M6=INDEX(choices!A:A,MATCH(M6,choices!A:A,0)+3),INDEX(choices!D:D,MATCH(M6,choices!A:A,0)+3),""),IF(M6=INDEX(choices!A:A,MATCH(M6,choices!A:A,0)+3), "
",""),IF(M6=INDEX(choices!A:A,MATCH(M6,choices!A:A,0)+4),INDEX(choices!D:D,MATCH(M6,choices!A:A,0)+4),""),IF(M6=INDEX(choices!A:A,MATCH(M6,choices!A:A,0)+4), "
",""),IF(M6=INDEX(choices!A:A,MATCH(M6,choices!A:A,0)+5),INDEX(choices!D:D,MATCH(M6,choices!A:A,0)+5),""),IF(M6=INDEX(choices!A:A,MATCH(M6,choices!A:A,0)+5), "
",""),IF(M6=INDEX(choices!A:A,MATCH(M6,choices!A:A,0)+6),INDEX(choices!D:D,MATCH(M6,choices!A:A,0)+6),""),IF(M6=INDEX(choices!A:A,MATCH(M6,choices!A:A,0)+6), "
",""),IF(M6=INDEX(choices!A:A,MATCH(M6,choices!A:A,0)+7),INDEX(choices!D:D,MATCH(M6,choices!A:A,0)+7),""),IF(M6=INDEX(choices!A:A,MATCH(M6,choices!A:A,0)+7), "
",""),IF(M6=INDEX(choices!A:A,MATCH(M6,choices!A:A,0)+8),INDEX(choices!D:D,MATCH(M6,choices!A:A,0)+8),""),IF(M6=INDEX(choices!A:A,MATCH(M6,choices!A:A,0)+8), "
",""),IF(M6=INDEX(choices!A:A,MATCH(M6,choices!A:A,0)+9),INDEX(choices!D:D,MATCH(M6,choices!A:A,0)+9),""),IF(M6=INDEX(choices!A:A,MATCH(M6,choices!A:A,0)+9), "
",""),IF(M6=INDEX(choices!A:A,MATCH(M6,choices!A:A,0)+10),INDEX(choices!D:D,MATCH(M6,choices!A:A,0)+10),""),IF(M6=INDEX(choices!A:A,MATCH(M6,choices!A:A,0)+10), "
",""),IF(M6=INDEX(choices!A:A,MATCH(M6,choices!A:A,0)+11),INDEX(choices!D:D,MATCH(M6,choices!A:A,0)+11),""),IF(M6=INDEX(choices!A:A,MATCH(M6,choices!A:A,0)+11), "
",""),IF(M6=INDEX(choices!A:A,MATCH(M6,choices!A:A,0)+12),INDEX(choices!D:D,MATCH(M6,choices!A:A,0)+12),""),IF(M6=INDEX(choices!A:A,MATCH(M6,choices!A:A,0)+12), "
",""),IF(M6=INDEX(choices!A:A,MATCH(M6,choices!A:A,0)+13),INDEX(choices!D:D,MATCH(M6,choices!A:A,0)+13),""),IF(M6=INDEX(choices!A:A,MATCH(M6,choices!A:A,0)+13), "
",""),IF(M6=INDEX(choices!A:A,MATCH(M6,choices!A:A,0)+14),INDEX(choices!D:D,MATCH(M6,choices!A:A,0)+14),""),IF(M6=INDEX(choices!A:A,MATCH(M6,choices!A:A,0)+14), "
",""),IF(M6=INDEX(choices!A:A,MATCH(M6,choices!A:A,0)+15),INDEX(choices!D:D,MATCH(M6,choices!A:A,0)+15),""),IF(M6=INDEX(choices!A:A,MATCH(M6,choices!A:A,0)+15), "
",""),IF(M6=INDEX(choices!A:A,MATCH(M6,choices!A:A,0)+16),INDEX(choices!D:D,MATCH(M6,choices!A:A,0)+16),""),IF(M6=INDEX(choices!A:A,MATCH(M6,choices!A:A,0)+16), "
",""),IF(M6=INDEX(choices!A:A,MATCH(M6,choices!A:A,0)+17),INDEX(choices!D:D,MATCH(M6,choices!A:A,0)+17),""),IF(M6=INDEX(choices!A:A,MATCH(M6,choices!A:A,0)+17), "
",""),IF(M6=INDEX(choices!A:A,MATCH(M6,choices!A:A,0)+18),INDEX(choices!D:D,MATCH(M6,choices!A:A,0)+18),""),IF(M6=INDEX(choices!A:A,MATCH(M6,choices!A:A,0)+18), "
",""),IF(M6=INDEX(choices!A:A,MATCH(M6,choices!A:A,0)+19),INDEX(choices!D:D,MATCH(M6,choices!A:A,0)+19),""),IF(M6=INDEX(choices!A:A,MATCH(M6,choices!A:A,0)+19), "
",""),IF(M6=INDEX(choices!A:A,MATCH(M6,choices!A:A,0)+20),INDEX(choices!D:D,MATCH(M6,choices!A:A,0)+20),""),IF(M6=INDEX(choices!A:A,MATCH(M6,choices!A:A,0)+20), "
",""))</f>
        <v xml:space="preserve">1. Yes
2. No
98. Don’t know
</v>
      </c>
      <c r="E6" s="31" t="s">
        <v>1386</v>
      </c>
      <c r="F6" s="31"/>
      <c r="G6" s="67" t="str">
        <f>CONCATENATE(INDEX(choices!C:C,MATCH(M6,choices!A:A,0)),"
",IF(M6=INDEX(choices!A:A,MATCH(M6,choices!A:A,0)+1),INDEX(choices!C:C,MATCH(M6,choices!A:A,0)+1),""),IF(M6=INDEX(choices!A:A,MATCH(M6,choices!A:A,0)+1), "
",""),IF(M6=INDEX(choices!A:A,MATCH(M6,choices!A:A,0)+2),INDEX(choices!C:C,MATCH(M6,choices!A:A,0)+2),""),IF(M6=INDEX(choices!A:A,MATCH(M6,choices!A:A,0)+2), "
",""),IF(M6=INDEX(choices!A:A,MATCH(M6,choices!A:A,0)+3),INDEX(choices!C:C,MATCH(M6,choices!A:A,0)+3),""),IF(M6=INDEX(choices!A:A,MATCH(M6,choices!A:A,0)+3), "
",""),IF(M6=INDEX(choices!A:A,MATCH(M6,choices!A:A,0)+4),INDEX(choices!C:C,MATCH(M6,choices!A:A,0)+4),""),IF(M6=INDEX(choices!A:A,MATCH(M6,choices!A:A,0)+4), "
",""),IF(M6=INDEX(choices!A:A,MATCH(M6,choices!A:A,0)+5),INDEX(choices!C:C,MATCH(M6,choices!A:A,0)+5),""),IF(M6=INDEX(choices!A:A,MATCH(M6,choices!A:A,0)+5), "
",""),IF(M6=INDEX(choices!A:A,MATCH(M6,choices!A:A,0)+6),INDEX(choices!C:C,MATCH(M6,choices!A:A,0)+6),""),IF(M6=INDEX(choices!A:A,MATCH(M6,choices!A:A,0)+6), "
",""),IF(M6=INDEX(choices!A:A,MATCH(M6,choices!A:A,0)+7),INDEX(choices!C:C,MATCH(M6,choices!A:A,0)+7),""),IF(M6=INDEX(choices!A:A,MATCH(M6,choices!A:A,0)+7), "
",""),IF(M6=INDEX(choices!A:A,MATCH(M6,choices!A:A,0)+8),INDEX(choices!C:C,MATCH(M6,choices!A:A,0)+8),""),IF(M6=INDEX(choices!A:A,MATCH(M6,choices!A:A,0)+8), "
",""),IF(M6=INDEX(choices!A:A,MATCH(M6,choices!A:A,0)+9),INDEX(choices!C:C,MATCH(M6,choices!A:A,0)+9),""),IF(M6=INDEX(choices!A:A,MATCH(M6,choices!A:A,0)+9), "
",""),IF(M6=INDEX(choices!A:A,MATCH(M6,choices!A:A,0)+10),INDEX(choices!C:C,MATCH(M6,choices!A:A,0)+10),""),IF(M6=INDEX(choices!A:A,MATCH(M6,choices!A:A,0)+10), "
",""),IF(M6=INDEX(choices!A:A,MATCH(M6,choices!A:A,0)+11),INDEX(choices!C:C,MATCH(M6,choices!A:A,0)+11),""),IF(M6=INDEX(choices!A:A,MATCH(M6,choices!A:A,0)+11), "
",""),IF(M6=INDEX(choices!A:A,MATCH(M6,choices!A:A,0)+12),INDEX(choices!C:C,MATCH(M6,choices!A:A,0)+12),""),IF(M6=INDEX(choices!A:A,MATCH(M6,choices!A:A,0)+12), "
",""),IF(M6=INDEX(choices!A:A,MATCH(M6,choices!A:A,0)+13),INDEX(choices!C:C,MATCH(M6,choices!A:A,0)+13),""),IF(M6=INDEX(choices!A:A,MATCH(M6,choices!A:A,0)+13), "
",""),IF(M6=INDEX(choices!A:A,MATCH(M6,choices!A:A,0)+14),INDEX(choices!C:C,MATCH(M6,choices!A:A,0)+14),""),IF(M6=INDEX(choices!A:A,MATCH(M6,choices!A:A,0)+14), "
",""),IF(M6=INDEX(choices!A:A,MATCH(M6,choices!A:A,0)+15),INDEX(choices!C:C,MATCH(M6,choices!A:A,0)+15),""),IF(M6=INDEX(choices!A:A,MATCH(M6,choices!A:A,0)+15), "
",""),IF(M6=INDEX(choices!A:A,MATCH(M6,choices!A:A,0)+16),INDEX(choices!C:C,MATCH(M6,choices!A:A,0)+16),""),IF(M6=INDEX(choices!A:A,MATCH(M6,choices!A:A,0)+16), "
",""),IF(M6=INDEX(choices!A:A,MATCH(M6,choices!A:A,0)+17),INDEX(choices!C:C,MATCH(M6,choices!A:A,0)+17),""),IF(M6=INDEX(choices!A:A,MATCH(M6,choices!A:A,0)+17), "
",""),IF(M6=INDEX(choices!A:A,MATCH(M6,choices!A:A,0)+18),INDEX(choices!C:C,MATCH(M6,choices!A:A,0)+18),""),IF(M6=INDEX(choices!A:A,MATCH(M6,choices!A:A,0)+18), "
",""),IF(M6=INDEX(choices!A:A,MATCH(M6,choices!A:A,0)+19),INDEX(choices!C:C,MATCH(M6,choices!A:A,0)+19),""),IF(M6=INDEX(choices!A:A,MATCH(M6,choices!A:A,0)+19), "
",""),IF(M6=INDEX(choices!A:A,MATCH(M6,choices!A:A,0)+20),INDEX(choices!C:C,MATCH(M6,choices!A:A,0)+20),""),IF(M6=INDEX(choices!A:A,MATCH(M6,choices!A:A,0)+20), "
","")," ")</f>
        <v xml:space="preserve">1. نعم
2.لا
98. لا أعرف
 </v>
      </c>
      <c r="H6" s="64" t="str">
        <f>CONCATENATE("If 2--&gt;",N12)</f>
        <v>If 2--&gt;q14402_1</v>
      </c>
      <c r="I6" s="1" t="str">
        <f>CONCATENATE(I5, "_1")</f>
        <v>14401_1</v>
      </c>
      <c r="K6" s="14"/>
      <c r="L6" s="1" t="s">
        <v>18</v>
      </c>
      <c r="M6" s="1" t="s">
        <v>140</v>
      </c>
      <c r="N6" s="64" t="str">
        <f>CONCATENATE("q",I6)</f>
        <v>q14401_1</v>
      </c>
      <c r="O6" s="306" t="str">
        <f>CONCATENATE(I6,". ",E6)</f>
        <v>14401_1. في الأسابيع الأربعة الماضية، هل قلقت ألا تحصل أسرتك على ما يكفي من الطعام؟</v>
      </c>
      <c r="P6" s="257" t="str">
        <f>CONCATENATE(I6,". ",B6)</f>
        <v xml:space="preserve">14401_1. In the past four weeks, did you worry that your household would not have enough food? </v>
      </c>
      <c r="Q6" s="28"/>
      <c r="R6" s="28"/>
      <c r="S6" s="427" t="str">
        <f>CONCATENATE("data('valid_overall') ==1 ")</f>
        <v xml:space="preserve">data('valid_overall') ==1 </v>
      </c>
      <c r="T6" s="262"/>
      <c r="U6" s="262"/>
      <c r="V6" s="262"/>
      <c r="W6" s="262"/>
      <c r="X6" s="262"/>
      <c r="Y6" s="1" t="b">
        <v>1</v>
      </c>
    </row>
    <row r="7" spans="1:27" s="1" customFormat="1">
      <c r="B7" s="31"/>
      <c r="C7" s="31"/>
      <c r="D7" s="28"/>
      <c r="E7" s="31"/>
      <c r="F7" s="31"/>
      <c r="G7" s="28"/>
      <c r="J7" s="135" t="s">
        <v>23</v>
      </c>
      <c r="K7" s="19" t="str">
        <f>CONCATENATE("selected (data('",N6,"'), '1')")</f>
        <v>selected (data('q14401_1'), '1')</v>
      </c>
      <c r="N7" s="64"/>
      <c r="O7" s="31"/>
      <c r="P7" s="31"/>
      <c r="Q7" s="28"/>
      <c r="R7" s="28"/>
      <c r="S7" s="43"/>
    </row>
    <row r="8" spans="1:27" s="1" customFormat="1" ht="180">
      <c r="A8" s="48" t="str">
        <f>N8</f>
        <v>q14401_2</v>
      </c>
      <c r="B8" s="31" t="s">
        <v>910</v>
      </c>
      <c r="C8" s="31"/>
      <c r="D8" s="127" t="str">
        <f>CONCATENATE(INDEX(choices!D:D,MATCH(M8,choices!A:A,0)),"
",IF(M8=INDEX(choices!A:A,MATCH(M8,choices!A:A,0)+1),INDEX(choices!D:D,MATCH(M8,choices!A:A,0)+1),""),IF(M8=INDEX(choices!A:A,MATCH(M8,choices!A:A,0)+1), "
",""),IF(M8=INDEX(choices!A:A,MATCH(M8,choices!A:A,0)+2),INDEX(choices!D:D,MATCH(M8,choices!A:A,0)+2),""),IF(M8=INDEX(choices!A:A,MATCH(M8,choices!A:A,0)+2), "
",""),IF(M8=INDEX(choices!A:A,MATCH(M8,choices!A:A,0)+3),INDEX(choices!D:D,MATCH(M8,choices!A:A,0)+3),""),IF(M8=INDEX(choices!A:A,MATCH(M8,choices!A:A,0)+3), "
",""),IF(M8=INDEX(choices!A:A,MATCH(M8,choices!A:A,0)+4),INDEX(choices!D:D,MATCH(M8,choices!A:A,0)+4),""),IF(M8=INDEX(choices!A:A,MATCH(M8,choices!A:A,0)+4), "
",""),IF(M8=INDEX(choices!A:A,MATCH(M8,choices!A:A,0)+5),INDEX(choices!D:D,MATCH(M8,choices!A:A,0)+5),""),IF(M8=INDEX(choices!A:A,MATCH(M8,choices!A:A,0)+5), "
",""),IF(M8=INDEX(choices!A:A,MATCH(M8,choices!A:A,0)+6),INDEX(choices!D:D,MATCH(M8,choices!A:A,0)+6),""),IF(M8=INDEX(choices!A:A,MATCH(M8,choices!A:A,0)+6), "
",""),IF(M8=INDEX(choices!A:A,MATCH(M8,choices!A:A,0)+7),INDEX(choices!D:D,MATCH(M8,choices!A:A,0)+7),""),IF(M8=INDEX(choices!A:A,MATCH(M8,choices!A:A,0)+7), "
",""),IF(M8=INDEX(choices!A:A,MATCH(M8,choices!A:A,0)+8),INDEX(choices!D:D,MATCH(M8,choices!A:A,0)+8),""),IF(M8=INDEX(choices!A:A,MATCH(M8,choices!A:A,0)+8), "
",""),IF(M8=INDEX(choices!A:A,MATCH(M8,choices!A:A,0)+9),INDEX(choices!D:D,MATCH(M8,choices!A:A,0)+9),""),IF(M8=INDEX(choices!A:A,MATCH(M8,choices!A:A,0)+9), "
",""),IF(M8=INDEX(choices!A:A,MATCH(M8,choices!A:A,0)+10),INDEX(choices!D:D,MATCH(M8,choices!A:A,0)+10),""),IF(M8=INDEX(choices!A:A,MATCH(M8,choices!A:A,0)+10), "
",""),IF(M8=INDEX(choices!A:A,MATCH(M8,choices!A:A,0)+11),INDEX(choices!D:D,MATCH(M8,choices!A:A,0)+11),""),IF(M8=INDEX(choices!A:A,MATCH(M8,choices!A:A,0)+11), "
",""),IF(M8=INDEX(choices!A:A,MATCH(M8,choices!A:A,0)+12),INDEX(choices!D:D,MATCH(M8,choices!A:A,0)+12),""),IF(M8=INDEX(choices!A:A,MATCH(M8,choices!A:A,0)+12), "
",""),IF(M8=INDEX(choices!A:A,MATCH(M8,choices!A:A,0)+13),INDEX(choices!D:D,MATCH(M8,choices!A:A,0)+13),""),IF(M8=INDEX(choices!A:A,MATCH(M8,choices!A:A,0)+13), "
",""),IF(M8=INDEX(choices!A:A,MATCH(M8,choices!A:A,0)+14),INDEX(choices!D:D,MATCH(M8,choices!A:A,0)+14),""),IF(M8=INDEX(choices!A:A,MATCH(M8,choices!A:A,0)+14), "
",""),IF(M8=INDEX(choices!A:A,MATCH(M8,choices!A:A,0)+15),INDEX(choices!D:D,MATCH(M8,choices!A:A,0)+15),""),IF(M8=INDEX(choices!A:A,MATCH(M8,choices!A:A,0)+15), "
",""),IF(M8=INDEX(choices!A:A,MATCH(M8,choices!A:A,0)+16),INDEX(choices!D:D,MATCH(M8,choices!A:A,0)+16),""),IF(M8=INDEX(choices!A:A,MATCH(M8,choices!A:A,0)+16), "
",""),IF(M8=INDEX(choices!A:A,MATCH(M8,choices!A:A,0)+17),INDEX(choices!D:D,MATCH(M8,choices!A:A,0)+17),""),IF(M8=INDEX(choices!A:A,MATCH(M8,choices!A:A,0)+17), "
",""),IF(M8=INDEX(choices!A:A,MATCH(M8,choices!A:A,0)+18),INDEX(choices!D:D,MATCH(M8,choices!A:A,0)+18),""),IF(M8=INDEX(choices!A:A,MATCH(M8,choices!A:A,0)+18), "
",""),IF(M8=INDEX(choices!A:A,MATCH(M8,choices!A:A,0)+19),INDEX(choices!D:D,MATCH(M8,choices!A:A,0)+19),""),IF(M8=INDEX(choices!A:A,MATCH(M8,choices!A:A,0)+19), "
",""),IF(M8=INDEX(choices!A:A,MATCH(M8,choices!A:A,0)+20),INDEX(choices!D:D,MATCH(M8,choices!A:A,0)+20),""),IF(M8=INDEX(choices!A:A,MATCH(M8,choices!A:A,0)+20), "
",""))</f>
        <v xml:space="preserve">1. Rarely (once or twice in the past four weeks) 
2. Sometimes (three to ten times in the past four weeks) 
3. Often (more than ten times in the past four weeks) 
</v>
      </c>
      <c r="E8" s="31" t="s">
        <v>909</v>
      </c>
      <c r="F8" s="31"/>
      <c r="G8" s="67" t="str">
        <f>CONCATENATE(INDEX(choices!C:C,MATCH(M8,choices!A:A,0)),"
",IF(M8=INDEX(choices!A:A,MATCH(M8,choices!A:A,0)+1),INDEX(choices!C:C,MATCH(M8,choices!A:A,0)+1),""),IF(M8=INDEX(choices!A:A,MATCH(M8,choices!A:A,0)+1), "
",""),IF(M8=INDEX(choices!A:A,MATCH(M8,choices!A:A,0)+2),INDEX(choices!C:C,MATCH(M8,choices!A:A,0)+2),""),IF(M8=INDEX(choices!A:A,MATCH(M8,choices!A:A,0)+2), "
",""),IF(M8=INDEX(choices!A:A,MATCH(M8,choices!A:A,0)+3),INDEX(choices!C:C,MATCH(M8,choices!A:A,0)+3),""),IF(M8=INDEX(choices!A:A,MATCH(M8,choices!A:A,0)+3), "
",""),IF(M8=INDEX(choices!A:A,MATCH(M8,choices!A:A,0)+4),INDEX(choices!C:C,MATCH(M8,choices!A:A,0)+4),""),IF(M8=INDEX(choices!A:A,MATCH(M8,choices!A:A,0)+4), "
",""),IF(M8=INDEX(choices!A:A,MATCH(M8,choices!A:A,0)+5),INDEX(choices!C:C,MATCH(M8,choices!A:A,0)+5),""),IF(M8=INDEX(choices!A:A,MATCH(M8,choices!A:A,0)+5), "
",""),IF(M8=INDEX(choices!A:A,MATCH(M8,choices!A:A,0)+6),INDEX(choices!C:C,MATCH(M8,choices!A:A,0)+6),""),IF(M8=INDEX(choices!A:A,MATCH(M8,choices!A:A,0)+6), "
",""),IF(M8=INDEX(choices!A:A,MATCH(M8,choices!A:A,0)+7),INDEX(choices!C:C,MATCH(M8,choices!A:A,0)+7),""),IF(M8=INDEX(choices!A:A,MATCH(M8,choices!A:A,0)+7), "
",""),IF(M8=INDEX(choices!A:A,MATCH(M8,choices!A:A,0)+8),INDEX(choices!C:C,MATCH(M8,choices!A:A,0)+8),""),IF(M8=INDEX(choices!A:A,MATCH(M8,choices!A:A,0)+8), "
",""),IF(M8=INDEX(choices!A:A,MATCH(M8,choices!A:A,0)+9),INDEX(choices!C:C,MATCH(M8,choices!A:A,0)+9),""),IF(M8=INDEX(choices!A:A,MATCH(M8,choices!A:A,0)+9), "
",""),IF(M8=INDEX(choices!A:A,MATCH(M8,choices!A:A,0)+10),INDEX(choices!C:C,MATCH(M8,choices!A:A,0)+10),""),IF(M8=INDEX(choices!A:A,MATCH(M8,choices!A:A,0)+10), "
",""),IF(M8=INDEX(choices!A:A,MATCH(M8,choices!A:A,0)+11),INDEX(choices!C:C,MATCH(M8,choices!A:A,0)+11),""),IF(M8=INDEX(choices!A:A,MATCH(M8,choices!A:A,0)+11), "
",""),IF(M8=INDEX(choices!A:A,MATCH(M8,choices!A:A,0)+12),INDEX(choices!C:C,MATCH(M8,choices!A:A,0)+12),""),IF(M8=INDEX(choices!A:A,MATCH(M8,choices!A:A,0)+12), "
",""),IF(M8=INDEX(choices!A:A,MATCH(M8,choices!A:A,0)+13),INDEX(choices!C:C,MATCH(M8,choices!A:A,0)+13),""),IF(M8=INDEX(choices!A:A,MATCH(M8,choices!A:A,0)+13), "
",""),IF(M8=INDEX(choices!A:A,MATCH(M8,choices!A:A,0)+14),INDEX(choices!C:C,MATCH(M8,choices!A:A,0)+14),""),IF(M8=INDEX(choices!A:A,MATCH(M8,choices!A:A,0)+14), "
",""),IF(M8=INDEX(choices!A:A,MATCH(M8,choices!A:A,0)+15),INDEX(choices!C:C,MATCH(M8,choices!A:A,0)+15),""),IF(M8=INDEX(choices!A:A,MATCH(M8,choices!A:A,0)+15), "
",""),IF(M8=INDEX(choices!A:A,MATCH(M8,choices!A:A,0)+16),INDEX(choices!C:C,MATCH(M8,choices!A:A,0)+16),""),IF(M8=INDEX(choices!A:A,MATCH(M8,choices!A:A,0)+16), "
",""),IF(M8=INDEX(choices!A:A,MATCH(M8,choices!A:A,0)+17),INDEX(choices!C:C,MATCH(M8,choices!A:A,0)+17),""),IF(M8=INDEX(choices!A:A,MATCH(M8,choices!A:A,0)+17), "
",""),IF(M8=INDEX(choices!A:A,MATCH(M8,choices!A:A,0)+18),INDEX(choices!C:C,MATCH(M8,choices!A:A,0)+18),""),IF(M8=INDEX(choices!A:A,MATCH(M8,choices!A:A,0)+18), "
",""),IF(M8=INDEX(choices!A:A,MATCH(M8,choices!A:A,0)+19),INDEX(choices!C:C,MATCH(M8,choices!A:A,0)+19),""),IF(M8=INDEX(choices!A:A,MATCH(M8,choices!A:A,0)+19), "
",""),IF(M8=INDEX(choices!A:A,MATCH(M8,choices!A:A,0)+20),INDEX(choices!C:C,MATCH(M8,choices!A:A,0)+20),""),IF(M8=INDEX(choices!A:A,MATCH(M8,choices!A:A,0)+20), "
","")," ")</f>
        <v xml:space="preserve">1. نادرا مرة أو مرتين في الأسابيع الأربعة الماضية
2. أحيانا ثلاث إلى عشر مرات في الأسابيع الأربعة الماضية
3. . في كثير من الأحيان أكثر من عشر مرات في الأسابيع الأربعة الماضية
 </v>
      </c>
      <c r="I8" s="1" t="str">
        <f>CONCATENATE(I5, "_2")</f>
        <v>14401_2</v>
      </c>
      <c r="K8" s="19"/>
      <c r="L8" s="1" t="s">
        <v>18</v>
      </c>
      <c r="M8" s="1" t="s">
        <v>908</v>
      </c>
      <c r="N8" s="64" t="str">
        <f>CONCATENATE("q",I8)</f>
        <v>q14401_2</v>
      </c>
      <c r="O8" s="306" t="str">
        <f>CONCATENATE(I8,". ",E8)</f>
        <v>14401_2. كم مرة؟</v>
      </c>
      <c r="P8" s="257" t="str">
        <f>CONCATENATE(I8,". ",B8)</f>
        <v xml:space="preserve">14401_2. How often? </v>
      </c>
      <c r="Q8" s="28"/>
      <c r="R8" s="28"/>
      <c r="S8" s="43" t="str">
        <f>CONCATENATE(K7, " &amp;&amp; ", '1_0_statistical_identification'!$S$164)</f>
        <v>selected (data('q14401_1'), '1') &amp;&amp; (data('valid_overall') == 1)</v>
      </c>
      <c r="T8" s="47"/>
      <c r="U8" s="47"/>
      <c r="V8" s="47"/>
      <c r="W8" s="47"/>
      <c r="X8" s="47"/>
      <c r="Y8" s="1" t="b">
        <v>1</v>
      </c>
    </row>
    <row r="9" spans="1:27" s="1" customFormat="1">
      <c r="B9" s="31"/>
      <c r="C9" s="31"/>
      <c r="D9" s="28"/>
      <c r="E9" s="31"/>
      <c r="F9" s="31"/>
      <c r="G9" s="28"/>
      <c r="J9" s="135" t="s">
        <v>42</v>
      </c>
      <c r="K9" s="19"/>
      <c r="L9" s="19"/>
      <c r="N9" s="64"/>
      <c r="O9" s="31"/>
      <c r="P9" s="31"/>
      <c r="Q9" s="28"/>
      <c r="R9" s="28"/>
      <c r="S9" s="43"/>
    </row>
    <row r="10" spans="1:27" s="1" customFormat="1">
      <c r="B10" s="31"/>
      <c r="C10" s="31"/>
      <c r="D10" s="28"/>
      <c r="E10" s="31"/>
      <c r="F10" s="31"/>
      <c r="G10" s="28"/>
      <c r="J10" s="1" t="s">
        <v>21</v>
      </c>
      <c r="K10" s="19"/>
      <c r="N10" s="64"/>
      <c r="O10" s="31"/>
      <c r="P10" s="31"/>
      <c r="Q10" s="28"/>
      <c r="R10" s="28"/>
      <c r="S10" s="43"/>
    </row>
    <row r="11" spans="1:27" s="1" customFormat="1">
      <c r="B11" s="31"/>
      <c r="C11" s="31"/>
      <c r="D11" s="28"/>
      <c r="E11" s="31"/>
      <c r="F11" s="31"/>
      <c r="G11" s="28"/>
      <c r="I11" s="1">
        <f>I5+1</f>
        <v>14402</v>
      </c>
      <c r="J11" s="1" t="s">
        <v>20</v>
      </c>
      <c r="K11" s="19"/>
      <c r="N11" s="64"/>
      <c r="O11" s="31"/>
      <c r="P11" s="31"/>
      <c r="Q11" s="28"/>
      <c r="R11" s="28"/>
      <c r="S11" s="43"/>
    </row>
    <row r="12" spans="1:27" s="1" customFormat="1" ht="150">
      <c r="A12" s="48" t="str">
        <f>N12</f>
        <v>q14402_1</v>
      </c>
      <c r="B12" s="31" t="s">
        <v>912</v>
      </c>
      <c r="C12" s="31"/>
      <c r="D12" s="127" t="str">
        <f>CONCATENATE(INDEX(choices!D:D,MATCH(M12,choices!A:A,0)),"
",IF(M12=INDEX(choices!A:A,MATCH(M12,choices!A:A,0)+1),INDEX(choices!D:D,MATCH(M12,choices!A:A,0)+1),""),IF(M12=INDEX(choices!A:A,MATCH(M12,choices!A:A,0)+1), "
",""),IF(M12=INDEX(choices!A:A,MATCH(M12,choices!A:A,0)+2),INDEX(choices!D:D,MATCH(M12,choices!A:A,0)+2),""),IF(M12=INDEX(choices!A:A,MATCH(M12,choices!A:A,0)+2), "
",""),IF(M12=INDEX(choices!A:A,MATCH(M12,choices!A:A,0)+3),INDEX(choices!D:D,MATCH(M12,choices!A:A,0)+3),""),IF(M12=INDEX(choices!A:A,MATCH(M12,choices!A:A,0)+3), "
",""),IF(M12=INDEX(choices!A:A,MATCH(M12,choices!A:A,0)+4),INDEX(choices!D:D,MATCH(M12,choices!A:A,0)+4),""),IF(M12=INDEX(choices!A:A,MATCH(M12,choices!A:A,0)+4), "
",""),IF(M12=INDEX(choices!A:A,MATCH(M12,choices!A:A,0)+5),INDEX(choices!D:D,MATCH(M12,choices!A:A,0)+5),""),IF(M12=INDEX(choices!A:A,MATCH(M12,choices!A:A,0)+5), "
",""),IF(M12=INDEX(choices!A:A,MATCH(M12,choices!A:A,0)+6),INDEX(choices!D:D,MATCH(M12,choices!A:A,0)+6),""),IF(M12=INDEX(choices!A:A,MATCH(M12,choices!A:A,0)+6), "
",""),IF(M12=INDEX(choices!A:A,MATCH(M12,choices!A:A,0)+7),INDEX(choices!D:D,MATCH(M12,choices!A:A,0)+7),""),IF(M12=INDEX(choices!A:A,MATCH(M12,choices!A:A,0)+7), "
",""),IF(M12=INDEX(choices!A:A,MATCH(M12,choices!A:A,0)+8),INDEX(choices!D:D,MATCH(M12,choices!A:A,0)+8),""),IF(M12=INDEX(choices!A:A,MATCH(M12,choices!A:A,0)+8), "
",""),IF(M12=INDEX(choices!A:A,MATCH(M12,choices!A:A,0)+9),INDEX(choices!D:D,MATCH(M12,choices!A:A,0)+9),""),IF(M12=INDEX(choices!A:A,MATCH(M12,choices!A:A,0)+9), "
",""),IF(M12=INDEX(choices!A:A,MATCH(M12,choices!A:A,0)+10),INDEX(choices!D:D,MATCH(M12,choices!A:A,0)+10),""),IF(M12=INDEX(choices!A:A,MATCH(M12,choices!A:A,0)+10), "
",""),IF(M12=INDEX(choices!A:A,MATCH(M12,choices!A:A,0)+11),INDEX(choices!D:D,MATCH(M12,choices!A:A,0)+11),""),IF(M12=INDEX(choices!A:A,MATCH(M12,choices!A:A,0)+11), "
",""),IF(M12=INDEX(choices!A:A,MATCH(M12,choices!A:A,0)+12),INDEX(choices!D:D,MATCH(M12,choices!A:A,0)+12),""),IF(M12=INDEX(choices!A:A,MATCH(M12,choices!A:A,0)+12), "
",""),IF(M12=INDEX(choices!A:A,MATCH(M12,choices!A:A,0)+13),INDEX(choices!D:D,MATCH(M12,choices!A:A,0)+13),""),IF(M12=INDEX(choices!A:A,MATCH(M12,choices!A:A,0)+13), "
",""),IF(M12=INDEX(choices!A:A,MATCH(M12,choices!A:A,0)+14),INDEX(choices!D:D,MATCH(M12,choices!A:A,0)+14),""),IF(M12=INDEX(choices!A:A,MATCH(M12,choices!A:A,0)+14), "
",""),IF(M12=INDEX(choices!A:A,MATCH(M12,choices!A:A,0)+15),INDEX(choices!D:D,MATCH(M12,choices!A:A,0)+15),""),IF(M12=INDEX(choices!A:A,MATCH(M12,choices!A:A,0)+15), "
",""),IF(M12=INDEX(choices!A:A,MATCH(M12,choices!A:A,0)+16),INDEX(choices!D:D,MATCH(M12,choices!A:A,0)+16),""),IF(M12=INDEX(choices!A:A,MATCH(M12,choices!A:A,0)+16), "
",""),IF(M12=INDEX(choices!A:A,MATCH(M12,choices!A:A,0)+17),INDEX(choices!D:D,MATCH(M12,choices!A:A,0)+17),""),IF(M12=INDEX(choices!A:A,MATCH(M12,choices!A:A,0)+17), "
",""),IF(M12=INDEX(choices!A:A,MATCH(M12,choices!A:A,0)+18),INDEX(choices!D:D,MATCH(M12,choices!A:A,0)+18),""),IF(M12=INDEX(choices!A:A,MATCH(M12,choices!A:A,0)+18), "
",""),IF(M12=INDEX(choices!A:A,MATCH(M12,choices!A:A,0)+19),INDEX(choices!D:D,MATCH(M12,choices!A:A,0)+19),""),IF(M12=INDEX(choices!A:A,MATCH(M12,choices!A:A,0)+19), "
",""),IF(M12=INDEX(choices!A:A,MATCH(M12,choices!A:A,0)+20),INDEX(choices!D:D,MATCH(M12,choices!A:A,0)+20),""),IF(M12=INDEX(choices!A:A,MATCH(M12,choices!A:A,0)+20), "
",""))</f>
        <v xml:space="preserve">1. Yes
2. No
98. Don’t know
</v>
      </c>
      <c r="E12" s="449" t="s">
        <v>1387</v>
      </c>
      <c r="F12" s="31"/>
      <c r="G12" s="67" t="str">
        <f>CONCATENATE(INDEX(choices!C:C,MATCH(M12,choices!A:A,0)),"
",IF(M12=INDEX(choices!A:A,MATCH(M12,choices!A:A,0)+1),INDEX(choices!C:C,MATCH(M12,choices!A:A,0)+1),""),IF(M12=INDEX(choices!A:A,MATCH(M12,choices!A:A,0)+1), "
",""),IF(M12=INDEX(choices!A:A,MATCH(M12,choices!A:A,0)+2),INDEX(choices!C:C,MATCH(M12,choices!A:A,0)+2),""),IF(M12=INDEX(choices!A:A,MATCH(M12,choices!A:A,0)+2), "
",""),IF(M12=INDEX(choices!A:A,MATCH(M12,choices!A:A,0)+3),INDEX(choices!C:C,MATCH(M12,choices!A:A,0)+3),""),IF(M12=INDEX(choices!A:A,MATCH(M12,choices!A:A,0)+3), "
",""),IF(M12=INDEX(choices!A:A,MATCH(M12,choices!A:A,0)+4),INDEX(choices!C:C,MATCH(M12,choices!A:A,0)+4),""),IF(M12=INDEX(choices!A:A,MATCH(M12,choices!A:A,0)+4), "
",""),IF(M12=INDEX(choices!A:A,MATCH(M12,choices!A:A,0)+5),INDEX(choices!C:C,MATCH(M12,choices!A:A,0)+5),""),IF(M12=INDEX(choices!A:A,MATCH(M12,choices!A:A,0)+5), "
",""),IF(M12=INDEX(choices!A:A,MATCH(M12,choices!A:A,0)+6),INDEX(choices!C:C,MATCH(M12,choices!A:A,0)+6),""),IF(M12=INDEX(choices!A:A,MATCH(M12,choices!A:A,0)+6), "
",""),IF(M12=INDEX(choices!A:A,MATCH(M12,choices!A:A,0)+7),INDEX(choices!C:C,MATCH(M12,choices!A:A,0)+7),""),IF(M12=INDEX(choices!A:A,MATCH(M12,choices!A:A,0)+7), "
",""),IF(M12=INDEX(choices!A:A,MATCH(M12,choices!A:A,0)+8),INDEX(choices!C:C,MATCH(M12,choices!A:A,0)+8),""),IF(M12=INDEX(choices!A:A,MATCH(M12,choices!A:A,0)+8), "
",""),IF(M12=INDEX(choices!A:A,MATCH(M12,choices!A:A,0)+9),INDEX(choices!C:C,MATCH(M12,choices!A:A,0)+9),""),IF(M12=INDEX(choices!A:A,MATCH(M12,choices!A:A,0)+9), "
",""),IF(M12=INDEX(choices!A:A,MATCH(M12,choices!A:A,0)+10),INDEX(choices!C:C,MATCH(M12,choices!A:A,0)+10),""),IF(M12=INDEX(choices!A:A,MATCH(M12,choices!A:A,0)+10), "
",""),IF(M12=INDEX(choices!A:A,MATCH(M12,choices!A:A,0)+11),INDEX(choices!C:C,MATCH(M12,choices!A:A,0)+11),""),IF(M12=INDEX(choices!A:A,MATCH(M12,choices!A:A,0)+11), "
",""),IF(M12=INDEX(choices!A:A,MATCH(M12,choices!A:A,0)+12),INDEX(choices!C:C,MATCH(M12,choices!A:A,0)+12),""),IF(M12=INDEX(choices!A:A,MATCH(M12,choices!A:A,0)+12), "
",""),IF(M12=INDEX(choices!A:A,MATCH(M12,choices!A:A,0)+13),INDEX(choices!C:C,MATCH(M12,choices!A:A,0)+13),""),IF(M12=INDEX(choices!A:A,MATCH(M12,choices!A:A,0)+13), "
",""),IF(M12=INDEX(choices!A:A,MATCH(M12,choices!A:A,0)+14),INDEX(choices!C:C,MATCH(M12,choices!A:A,0)+14),""),IF(M12=INDEX(choices!A:A,MATCH(M12,choices!A:A,0)+14), "
",""),IF(M12=INDEX(choices!A:A,MATCH(M12,choices!A:A,0)+15),INDEX(choices!C:C,MATCH(M12,choices!A:A,0)+15),""),IF(M12=INDEX(choices!A:A,MATCH(M12,choices!A:A,0)+15), "
",""),IF(M12=INDEX(choices!A:A,MATCH(M12,choices!A:A,0)+16),INDEX(choices!C:C,MATCH(M12,choices!A:A,0)+16),""),IF(M12=INDEX(choices!A:A,MATCH(M12,choices!A:A,0)+16), "
",""),IF(M12=INDEX(choices!A:A,MATCH(M12,choices!A:A,0)+17),INDEX(choices!C:C,MATCH(M12,choices!A:A,0)+17),""),IF(M12=INDEX(choices!A:A,MATCH(M12,choices!A:A,0)+17), "
",""),IF(M12=INDEX(choices!A:A,MATCH(M12,choices!A:A,0)+18),INDEX(choices!C:C,MATCH(M12,choices!A:A,0)+18),""),IF(M12=INDEX(choices!A:A,MATCH(M12,choices!A:A,0)+18), "
",""),IF(M12=INDEX(choices!A:A,MATCH(M12,choices!A:A,0)+19),INDEX(choices!C:C,MATCH(M12,choices!A:A,0)+19),""),IF(M12=INDEX(choices!A:A,MATCH(M12,choices!A:A,0)+19), "
",""),IF(M12=INDEX(choices!A:A,MATCH(M12,choices!A:A,0)+20),INDEX(choices!C:C,MATCH(M12,choices!A:A,0)+20),""),IF(M12=INDEX(choices!A:A,MATCH(M12,choices!A:A,0)+20), "
","")," ")</f>
        <v xml:space="preserve">1. نعم
2.لا
98. لا أعرف
 </v>
      </c>
      <c r="H12" s="64" t="str">
        <f>CONCATENATE("If 2--&gt;",N18)</f>
        <v>If 2--&gt;q14403_1</v>
      </c>
      <c r="I12" s="1" t="str">
        <f>CONCATENATE(I11, "_1")</f>
        <v>14402_1</v>
      </c>
      <c r="K12" s="19"/>
      <c r="L12" s="1" t="s">
        <v>18</v>
      </c>
      <c r="M12" s="1" t="s">
        <v>140</v>
      </c>
      <c r="N12" s="64" t="str">
        <f>CONCATENATE("q",I12)</f>
        <v>q14402_1</v>
      </c>
      <c r="O12" s="306" t="str">
        <f>CONCATENATE(I12,". ",E12)</f>
        <v>14402_1. في الأسابيع الأربعة الماضية، هل لم تتمكن أنت أو أي من أفراد الأسرة من تناول أنواع الطعام المفضلة بسبب نقص الدخل؟</v>
      </c>
      <c r="P12" s="257" t="str">
        <f>CONCATENATE(I12,". ",B12)</f>
        <v xml:space="preserve">14402_1. In the past four weeks, were you or any household member not able to eat the kinds of food you preferred because of a lack of resources? </v>
      </c>
      <c r="Q12" s="28"/>
      <c r="R12" s="28"/>
      <c r="S12" s="427" t="str">
        <f>CONCATENATE("data('valid_overall') ==1 ")</f>
        <v xml:space="preserve">data('valid_overall') ==1 </v>
      </c>
      <c r="T12" s="262"/>
      <c r="U12" s="262"/>
      <c r="V12" s="262"/>
      <c r="W12" s="262"/>
      <c r="X12" s="262"/>
      <c r="Y12" s="1" t="b">
        <v>1</v>
      </c>
    </row>
    <row r="13" spans="1:27" s="1" customFormat="1">
      <c r="B13" s="31"/>
      <c r="C13" s="31"/>
      <c r="D13" s="28"/>
      <c r="E13" s="31"/>
      <c r="F13" s="31"/>
      <c r="G13" s="28"/>
      <c r="J13" s="1" t="s">
        <v>23</v>
      </c>
      <c r="K13" s="19" t="str">
        <f>CONCATENATE("selected (data('",N12,"'), '1')")</f>
        <v>selected (data('q14402_1'), '1')</v>
      </c>
      <c r="N13" s="64"/>
      <c r="O13" s="31"/>
      <c r="P13" s="31"/>
      <c r="Q13" s="28"/>
      <c r="R13" s="28"/>
      <c r="S13" s="43"/>
    </row>
    <row r="14" spans="1:27" s="1" customFormat="1" ht="180">
      <c r="A14" s="48" t="str">
        <f>N14</f>
        <v>q14402_2</v>
      </c>
      <c r="B14" s="31" t="s">
        <v>910</v>
      </c>
      <c r="C14" s="31"/>
      <c r="D14" s="127" t="str">
        <f>CONCATENATE(INDEX(choices!D:D,MATCH(M14,choices!A:A,0)),"
",IF(M14=INDEX(choices!A:A,MATCH(M14,choices!A:A,0)+1),INDEX(choices!D:D,MATCH(M14,choices!A:A,0)+1),""),IF(M14=INDEX(choices!A:A,MATCH(M14,choices!A:A,0)+1), "
",""),IF(M14=INDEX(choices!A:A,MATCH(M14,choices!A:A,0)+2),INDEX(choices!D:D,MATCH(M14,choices!A:A,0)+2),""),IF(M14=INDEX(choices!A:A,MATCH(M14,choices!A:A,0)+2), "
",""),IF(M14=INDEX(choices!A:A,MATCH(M14,choices!A:A,0)+3),INDEX(choices!D:D,MATCH(M14,choices!A:A,0)+3),""),IF(M14=INDEX(choices!A:A,MATCH(M14,choices!A:A,0)+3), "
",""),IF(M14=INDEX(choices!A:A,MATCH(M14,choices!A:A,0)+4),INDEX(choices!D:D,MATCH(M14,choices!A:A,0)+4),""),IF(M14=INDEX(choices!A:A,MATCH(M14,choices!A:A,0)+4), "
",""),IF(M14=INDEX(choices!A:A,MATCH(M14,choices!A:A,0)+5),INDEX(choices!D:D,MATCH(M14,choices!A:A,0)+5),""),IF(M14=INDEX(choices!A:A,MATCH(M14,choices!A:A,0)+5), "
",""),IF(M14=INDEX(choices!A:A,MATCH(M14,choices!A:A,0)+6),INDEX(choices!D:D,MATCH(M14,choices!A:A,0)+6),""),IF(M14=INDEX(choices!A:A,MATCH(M14,choices!A:A,0)+6), "
",""),IF(M14=INDEX(choices!A:A,MATCH(M14,choices!A:A,0)+7),INDEX(choices!D:D,MATCH(M14,choices!A:A,0)+7),""),IF(M14=INDEX(choices!A:A,MATCH(M14,choices!A:A,0)+7), "
",""),IF(M14=INDEX(choices!A:A,MATCH(M14,choices!A:A,0)+8),INDEX(choices!D:D,MATCH(M14,choices!A:A,0)+8),""),IF(M14=INDEX(choices!A:A,MATCH(M14,choices!A:A,0)+8), "
",""),IF(M14=INDEX(choices!A:A,MATCH(M14,choices!A:A,0)+9),INDEX(choices!D:D,MATCH(M14,choices!A:A,0)+9),""),IF(M14=INDEX(choices!A:A,MATCH(M14,choices!A:A,0)+9), "
",""),IF(M14=INDEX(choices!A:A,MATCH(M14,choices!A:A,0)+10),INDEX(choices!D:D,MATCH(M14,choices!A:A,0)+10),""),IF(M14=INDEX(choices!A:A,MATCH(M14,choices!A:A,0)+10), "
",""),IF(M14=INDEX(choices!A:A,MATCH(M14,choices!A:A,0)+11),INDEX(choices!D:D,MATCH(M14,choices!A:A,0)+11),""),IF(M14=INDEX(choices!A:A,MATCH(M14,choices!A:A,0)+11), "
",""),IF(M14=INDEX(choices!A:A,MATCH(M14,choices!A:A,0)+12),INDEX(choices!D:D,MATCH(M14,choices!A:A,0)+12),""),IF(M14=INDEX(choices!A:A,MATCH(M14,choices!A:A,0)+12), "
",""),IF(M14=INDEX(choices!A:A,MATCH(M14,choices!A:A,0)+13),INDEX(choices!D:D,MATCH(M14,choices!A:A,0)+13),""),IF(M14=INDEX(choices!A:A,MATCH(M14,choices!A:A,0)+13), "
",""),IF(M14=INDEX(choices!A:A,MATCH(M14,choices!A:A,0)+14),INDEX(choices!D:D,MATCH(M14,choices!A:A,0)+14),""),IF(M14=INDEX(choices!A:A,MATCH(M14,choices!A:A,0)+14), "
",""),IF(M14=INDEX(choices!A:A,MATCH(M14,choices!A:A,0)+15),INDEX(choices!D:D,MATCH(M14,choices!A:A,0)+15),""),IF(M14=INDEX(choices!A:A,MATCH(M14,choices!A:A,0)+15), "
",""),IF(M14=INDEX(choices!A:A,MATCH(M14,choices!A:A,0)+16),INDEX(choices!D:D,MATCH(M14,choices!A:A,0)+16),""),IF(M14=INDEX(choices!A:A,MATCH(M14,choices!A:A,0)+16), "
",""),IF(M14=INDEX(choices!A:A,MATCH(M14,choices!A:A,0)+17),INDEX(choices!D:D,MATCH(M14,choices!A:A,0)+17),""),IF(M14=INDEX(choices!A:A,MATCH(M14,choices!A:A,0)+17), "
",""),IF(M14=INDEX(choices!A:A,MATCH(M14,choices!A:A,0)+18),INDEX(choices!D:D,MATCH(M14,choices!A:A,0)+18),""),IF(M14=INDEX(choices!A:A,MATCH(M14,choices!A:A,0)+18), "
",""),IF(M14=INDEX(choices!A:A,MATCH(M14,choices!A:A,0)+19),INDEX(choices!D:D,MATCH(M14,choices!A:A,0)+19),""),IF(M14=INDEX(choices!A:A,MATCH(M14,choices!A:A,0)+19), "
",""),IF(M14=INDEX(choices!A:A,MATCH(M14,choices!A:A,0)+20),INDEX(choices!D:D,MATCH(M14,choices!A:A,0)+20),""),IF(M14=INDEX(choices!A:A,MATCH(M14,choices!A:A,0)+20), "
",""))</f>
        <v xml:space="preserve">1. Rarely (once or twice in the past four weeks) 
2. Sometimes (three to ten times in the past four weeks) 
3. Often (more than ten times in the past four weeks) 
</v>
      </c>
      <c r="E14" s="31" t="s">
        <v>909</v>
      </c>
      <c r="F14" s="31"/>
      <c r="G14" s="67" t="str">
        <f>CONCATENATE(INDEX(choices!C:C,MATCH(M14,choices!A:A,0)),"
",IF(M14=INDEX(choices!A:A,MATCH(M14,choices!A:A,0)+1),INDEX(choices!C:C,MATCH(M14,choices!A:A,0)+1),""),IF(M14=INDEX(choices!A:A,MATCH(M14,choices!A:A,0)+1), "
",""),IF(M14=INDEX(choices!A:A,MATCH(M14,choices!A:A,0)+2),INDEX(choices!C:C,MATCH(M14,choices!A:A,0)+2),""),IF(M14=INDEX(choices!A:A,MATCH(M14,choices!A:A,0)+2), "
",""),IF(M14=INDEX(choices!A:A,MATCH(M14,choices!A:A,0)+3),INDEX(choices!C:C,MATCH(M14,choices!A:A,0)+3),""),IF(M14=INDEX(choices!A:A,MATCH(M14,choices!A:A,0)+3), "
",""),IF(M14=INDEX(choices!A:A,MATCH(M14,choices!A:A,0)+4),INDEX(choices!C:C,MATCH(M14,choices!A:A,0)+4),""),IF(M14=INDEX(choices!A:A,MATCH(M14,choices!A:A,0)+4), "
",""),IF(M14=INDEX(choices!A:A,MATCH(M14,choices!A:A,0)+5),INDEX(choices!C:C,MATCH(M14,choices!A:A,0)+5),""),IF(M14=INDEX(choices!A:A,MATCH(M14,choices!A:A,0)+5), "
",""),IF(M14=INDEX(choices!A:A,MATCH(M14,choices!A:A,0)+6),INDEX(choices!C:C,MATCH(M14,choices!A:A,0)+6),""),IF(M14=INDEX(choices!A:A,MATCH(M14,choices!A:A,0)+6), "
",""),IF(M14=INDEX(choices!A:A,MATCH(M14,choices!A:A,0)+7),INDEX(choices!C:C,MATCH(M14,choices!A:A,0)+7),""),IF(M14=INDEX(choices!A:A,MATCH(M14,choices!A:A,0)+7), "
",""),IF(M14=INDEX(choices!A:A,MATCH(M14,choices!A:A,0)+8),INDEX(choices!C:C,MATCH(M14,choices!A:A,0)+8),""),IF(M14=INDEX(choices!A:A,MATCH(M14,choices!A:A,0)+8), "
",""),IF(M14=INDEX(choices!A:A,MATCH(M14,choices!A:A,0)+9),INDEX(choices!C:C,MATCH(M14,choices!A:A,0)+9),""),IF(M14=INDEX(choices!A:A,MATCH(M14,choices!A:A,0)+9), "
",""),IF(M14=INDEX(choices!A:A,MATCH(M14,choices!A:A,0)+10),INDEX(choices!C:C,MATCH(M14,choices!A:A,0)+10),""),IF(M14=INDEX(choices!A:A,MATCH(M14,choices!A:A,0)+10), "
",""),IF(M14=INDEX(choices!A:A,MATCH(M14,choices!A:A,0)+11),INDEX(choices!C:C,MATCH(M14,choices!A:A,0)+11),""),IF(M14=INDEX(choices!A:A,MATCH(M14,choices!A:A,0)+11), "
",""),IF(M14=INDEX(choices!A:A,MATCH(M14,choices!A:A,0)+12),INDEX(choices!C:C,MATCH(M14,choices!A:A,0)+12),""),IF(M14=INDEX(choices!A:A,MATCH(M14,choices!A:A,0)+12), "
",""),IF(M14=INDEX(choices!A:A,MATCH(M14,choices!A:A,0)+13),INDEX(choices!C:C,MATCH(M14,choices!A:A,0)+13),""),IF(M14=INDEX(choices!A:A,MATCH(M14,choices!A:A,0)+13), "
",""),IF(M14=INDEX(choices!A:A,MATCH(M14,choices!A:A,0)+14),INDEX(choices!C:C,MATCH(M14,choices!A:A,0)+14),""),IF(M14=INDEX(choices!A:A,MATCH(M14,choices!A:A,0)+14), "
",""),IF(M14=INDEX(choices!A:A,MATCH(M14,choices!A:A,0)+15),INDEX(choices!C:C,MATCH(M14,choices!A:A,0)+15),""),IF(M14=INDEX(choices!A:A,MATCH(M14,choices!A:A,0)+15), "
",""),IF(M14=INDEX(choices!A:A,MATCH(M14,choices!A:A,0)+16),INDEX(choices!C:C,MATCH(M14,choices!A:A,0)+16),""),IF(M14=INDEX(choices!A:A,MATCH(M14,choices!A:A,0)+16), "
",""),IF(M14=INDEX(choices!A:A,MATCH(M14,choices!A:A,0)+17),INDEX(choices!C:C,MATCH(M14,choices!A:A,0)+17),""),IF(M14=INDEX(choices!A:A,MATCH(M14,choices!A:A,0)+17), "
",""),IF(M14=INDEX(choices!A:A,MATCH(M14,choices!A:A,0)+18),INDEX(choices!C:C,MATCH(M14,choices!A:A,0)+18),""),IF(M14=INDEX(choices!A:A,MATCH(M14,choices!A:A,0)+18), "
",""),IF(M14=INDEX(choices!A:A,MATCH(M14,choices!A:A,0)+19),INDEX(choices!C:C,MATCH(M14,choices!A:A,0)+19),""),IF(M14=INDEX(choices!A:A,MATCH(M14,choices!A:A,0)+19), "
",""),IF(M14=INDEX(choices!A:A,MATCH(M14,choices!A:A,0)+20),INDEX(choices!C:C,MATCH(M14,choices!A:A,0)+20),""),IF(M14=INDEX(choices!A:A,MATCH(M14,choices!A:A,0)+20), "
","")," ")</f>
        <v xml:space="preserve">1. نادرا مرة أو مرتين في الأسابيع الأربعة الماضية
2. أحيانا ثلاث إلى عشر مرات في الأسابيع الأربعة الماضية
3. . في كثير من الأحيان أكثر من عشر مرات في الأسابيع الأربعة الماضية
 </v>
      </c>
      <c r="I14" s="1" t="str">
        <f>CONCATENATE(I11, "_2")</f>
        <v>14402_2</v>
      </c>
      <c r="K14" s="19"/>
      <c r="L14" s="1" t="s">
        <v>18</v>
      </c>
      <c r="M14" s="1" t="s">
        <v>908</v>
      </c>
      <c r="N14" s="64" t="str">
        <f>CONCATENATE("q",I14)</f>
        <v>q14402_2</v>
      </c>
      <c r="O14" s="306" t="str">
        <f>CONCATENATE(I14,". ",E14)</f>
        <v>14402_2. كم مرة؟</v>
      </c>
      <c r="P14" s="257" t="str">
        <f>CONCATENATE(I14,". ",B14)</f>
        <v xml:space="preserve">14402_2. How often? </v>
      </c>
      <c r="Q14" s="28"/>
      <c r="R14" s="28"/>
      <c r="S14" s="43" t="str">
        <f>CONCATENATE(K13, " &amp;&amp; ", '1_0_statistical_identification'!$S$164)</f>
        <v>selected (data('q14402_1'), '1') &amp;&amp; (data('valid_overall') == 1)</v>
      </c>
      <c r="T14" s="47"/>
      <c r="U14" s="47"/>
      <c r="V14" s="47"/>
      <c r="W14" s="47"/>
      <c r="X14" s="47"/>
      <c r="Y14" s="1" t="b">
        <v>1</v>
      </c>
    </row>
    <row r="15" spans="1:27" s="1" customFormat="1">
      <c r="B15" s="31"/>
      <c r="C15" s="31"/>
      <c r="D15" s="28"/>
      <c r="E15" s="31"/>
      <c r="F15" s="31"/>
      <c r="G15" s="28"/>
      <c r="J15" s="1" t="s">
        <v>42</v>
      </c>
      <c r="K15" s="19"/>
      <c r="L15" s="19"/>
      <c r="N15" s="64"/>
      <c r="O15" s="31"/>
      <c r="P15" s="31"/>
      <c r="Q15" s="28"/>
      <c r="R15" s="28"/>
      <c r="S15" s="43"/>
    </row>
    <row r="16" spans="1:27" s="1" customFormat="1">
      <c r="B16" s="31"/>
      <c r="C16" s="31"/>
      <c r="D16" s="28"/>
      <c r="E16" s="31"/>
      <c r="F16" s="31"/>
      <c r="G16" s="28"/>
      <c r="J16" s="1" t="s">
        <v>21</v>
      </c>
      <c r="K16" s="19"/>
      <c r="N16" s="64"/>
      <c r="O16" s="31"/>
      <c r="P16" s="31"/>
      <c r="Q16" s="28"/>
      <c r="R16" s="28"/>
      <c r="S16" s="43"/>
    </row>
    <row r="17" spans="1:25" s="1" customFormat="1">
      <c r="B17" s="31"/>
      <c r="C17" s="31"/>
      <c r="D17" s="28"/>
      <c r="E17" s="31"/>
      <c r="F17" s="31"/>
      <c r="G17" s="28"/>
      <c r="I17" s="1">
        <f>I11+1</f>
        <v>14403</v>
      </c>
      <c r="J17" s="1" t="s">
        <v>20</v>
      </c>
      <c r="K17" s="19"/>
      <c r="N17" s="64"/>
      <c r="O17" s="31"/>
      <c r="P17" s="31"/>
      <c r="Q17" s="28"/>
      <c r="R17" s="28"/>
      <c r="S17" s="43"/>
    </row>
    <row r="18" spans="1:25" s="1" customFormat="1" ht="135">
      <c r="A18" s="48" t="str">
        <f>N18</f>
        <v>q14403_1</v>
      </c>
      <c r="B18" s="31" t="s">
        <v>913</v>
      </c>
      <c r="C18" s="31"/>
      <c r="D18" s="127" t="str">
        <f>CONCATENATE(INDEX(choices!D:D,MATCH(M18,choices!A:A,0)),"
",IF(M18=INDEX(choices!A:A,MATCH(M18,choices!A:A,0)+1),INDEX(choices!D:D,MATCH(M18,choices!A:A,0)+1),""),IF(M18=INDEX(choices!A:A,MATCH(M18,choices!A:A,0)+1), "
",""),IF(M18=INDEX(choices!A:A,MATCH(M18,choices!A:A,0)+2),INDEX(choices!D:D,MATCH(M18,choices!A:A,0)+2),""),IF(M18=INDEX(choices!A:A,MATCH(M18,choices!A:A,0)+2), "
",""),IF(M18=INDEX(choices!A:A,MATCH(M18,choices!A:A,0)+3),INDEX(choices!D:D,MATCH(M18,choices!A:A,0)+3),""),IF(M18=INDEX(choices!A:A,MATCH(M18,choices!A:A,0)+3), "
",""),IF(M18=INDEX(choices!A:A,MATCH(M18,choices!A:A,0)+4),INDEX(choices!D:D,MATCH(M18,choices!A:A,0)+4),""),IF(M18=INDEX(choices!A:A,MATCH(M18,choices!A:A,0)+4), "
",""),IF(M18=INDEX(choices!A:A,MATCH(M18,choices!A:A,0)+5),INDEX(choices!D:D,MATCH(M18,choices!A:A,0)+5),""),IF(M18=INDEX(choices!A:A,MATCH(M18,choices!A:A,0)+5), "
",""),IF(M18=INDEX(choices!A:A,MATCH(M18,choices!A:A,0)+6),INDEX(choices!D:D,MATCH(M18,choices!A:A,0)+6),""),IF(M18=INDEX(choices!A:A,MATCH(M18,choices!A:A,0)+6), "
",""),IF(M18=INDEX(choices!A:A,MATCH(M18,choices!A:A,0)+7),INDEX(choices!D:D,MATCH(M18,choices!A:A,0)+7),""),IF(M18=INDEX(choices!A:A,MATCH(M18,choices!A:A,0)+7), "
",""),IF(M18=INDEX(choices!A:A,MATCH(M18,choices!A:A,0)+8),INDEX(choices!D:D,MATCH(M18,choices!A:A,0)+8),""),IF(M18=INDEX(choices!A:A,MATCH(M18,choices!A:A,0)+8), "
",""),IF(M18=INDEX(choices!A:A,MATCH(M18,choices!A:A,0)+9),INDEX(choices!D:D,MATCH(M18,choices!A:A,0)+9),""),IF(M18=INDEX(choices!A:A,MATCH(M18,choices!A:A,0)+9), "
",""),IF(M18=INDEX(choices!A:A,MATCH(M18,choices!A:A,0)+10),INDEX(choices!D:D,MATCH(M18,choices!A:A,0)+10),""),IF(M18=INDEX(choices!A:A,MATCH(M18,choices!A:A,0)+10), "
",""),IF(M18=INDEX(choices!A:A,MATCH(M18,choices!A:A,0)+11),INDEX(choices!D:D,MATCH(M18,choices!A:A,0)+11),""),IF(M18=INDEX(choices!A:A,MATCH(M18,choices!A:A,0)+11), "
",""),IF(M18=INDEX(choices!A:A,MATCH(M18,choices!A:A,0)+12),INDEX(choices!D:D,MATCH(M18,choices!A:A,0)+12),""),IF(M18=INDEX(choices!A:A,MATCH(M18,choices!A:A,0)+12), "
",""),IF(M18=INDEX(choices!A:A,MATCH(M18,choices!A:A,0)+13),INDEX(choices!D:D,MATCH(M18,choices!A:A,0)+13),""),IF(M18=INDEX(choices!A:A,MATCH(M18,choices!A:A,0)+13), "
",""),IF(M18=INDEX(choices!A:A,MATCH(M18,choices!A:A,0)+14),INDEX(choices!D:D,MATCH(M18,choices!A:A,0)+14),""),IF(M18=INDEX(choices!A:A,MATCH(M18,choices!A:A,0)+14), "
",""),IF(M18=INDEX(choices!A:A,MATCH(M18,choices!A:A,0)+15),INDEX(choices!D:D,MATCH(M18,choices!A:A,0)+15),""),IF(M18=INDEX(choices!A:A,MATCH(M18,choices!A:A,0)+15), "
",""),IF(M18=INDEX(choices!A:A,MATCH(M18,choices!A:A,0)+16),INDEX(choices!D:D,MATCH(M18,choices!A:A,0)+16),""),IF(M18=INDEX(choices!A:A,MATCH(M18,choices!A:A,0)+16), "
",""),IF(M18=INDEX(choices!A:A,MATCH(M18,choices!A:A,0)+17),INDEX(choices!D:D,MATCH(M18,choices!A:A,0)+17),""),IF(M18=INDEX(choices!A:A,MATCH(M18,choices!A:A,0)+17), "
",""),IF(M18=INDEX(choices!A:A,MATCH(M18,choices!A:A,0)+18),INDEX(choices!D:D,MATCH(M18,choices!A:A,0)+18),""),IF(M18=INDEX(choices!A:A,MATCH(M18,choices!A:A,0)+18), "
",""),IF(M18=INDEX(choices!A:A,MATCH(M18,choices!A:A,0)+19),INDEX(choices!D:D,MATCH(M18,choices!A:A,0)+19),""),IF(M18=INDEX(choices!A:A,MATCH(M18,choices!A:A,0)+19), "
",""),IF(M18=INDEX(choices!A:A,MATCH(M18,choices!A:A,0)+20),INDEX(choices!D:D,MATCH(M18,choices!A:A,0)+20),""),IF(M18=INDEX(choices!A:A,MATCH(M18,choices!A:A,0)+20), "
",""))</f>
        <v xml:space="preserve">1. Yes
2. No
98. Don’t know
</v>
      </c>
      <c r="E18" s="450" t="s">
        <v>1388</v>
      </c>
      <c r="F18" s="31"/>
      <c r="G18" s="67" t="str">
        <f>CONCATENATE(INDEX(choices!C:C,MATCH(M18,choices!A:A,0)),"
",IF(M18=INDEX(choices!A:A,MATCH(M18,choices!A:A,0)+1),INDEX(choices!C:C,MATCH(M18,choices!A:A,0)+1),""),IF(M18=INDEX(choices!A:A,MATCH(M18,choices!A:A,0)+1), "
",""),IF(M18=INDEX(choices!A:A,MATCH(M18,choices!A:A,0)+2),INDEX(choices!C:C,MATCH(M18,choices!A:A,0)+2),""),IF(M18=INDEX(choices!A:A,MATCH(M18,choices!A:A,0)+2), "
",""),IF(M18=INDEX(choices!A:A,MATCH(M18,choices!A:A,0)+3),INDEX(choices!C:C,MATCH(M18,choices!A:A,0)+3),""),IF(M18=INDEX(choices!A:A,MATCH(M18,choices!A:A,0)+3), "
",""),IF(M18=INDEX(choices!A:A,MATCH(M18,choices!A:A,0)+4),INDEX(choices!C:C,MATCH(M18,choices!A:A,0)+4),""),IF(M18=INDEX(choices!A:A,MATCH(M18,choices!A:A,0)+4), "
",""),IF(M18=INDEX(choices!A:A,MATCH(M18,choices!A:A,0)+5),INDEX(choices!C:C,MATCH(M18,choices!A:A,0)+5),""),IF(M18=INDEX(choices!A:A,MATCH(M18,choices!A:A,0)+5), "
",""),IF(M18=INDEX(choices!A:A,MATCH(M18,choices!A:A,0)+6),INDEX(choices!C:C,MATCH(M18,choices!A:A,0)+6),""),IF(M18=INDEX(choices!A:A,MATCH(M18,choices!A:A,0)+6), "
",""),IF(M18=INDEX(choices!A:A,MATCH(M18,choices!A:A,0)+7),INDEX(choices!C:C,MATCH(M18,choices!A:A,0)+7),""),IF(M18=INDEX(choices!A:A,MATCH(M18,choices!A:A,0)+7), "
",""),IF(M18=INDEX(choices!A:A,MATCH(M18,choices!A:A,0)+8),INDEX(choices!C:C,MATCH(M18,choices!A:A,0)+8),""),IF(M18=INDEX(choices!A:A,MATCH(M18,choices!A:A,0)+8), "
",""),IF(M18=INDEX(choices!A:A,MATCH(M18,choices!A:A,0)+9),INDEX(choices!C:C,MATCH(M18,choices!A:A,0)+9),""),IF(M18=INDEX(choices!A:A,MATCH(M18,choices!A:A,0)+9), "
",""),IF(M18=INDEX(choices!A:A,MATCH(M18,choices!A:A,0)+10),INDEX(choices!C:C,MATCH(M18,choices!A:A,0)+10),""),IF(M18=INDEX(choices!A:A,MATCH(M18,choices!A:A,0)+10), "
",""),IF(M18=INDEX(choices!A:A,MATCH(M18,choices!A:A,0)+11),INDEX(choices!C:C,MATCH(M18,choices!A:A,0)+11),""),IF(M18=INDEX(choices!A:A,MATCH(M18,choices!A:A,0)+11), "
",""),IF(M18=INDEX(choices!A:A,MATCH(M18,choices!A:A,0)+12),INDEX(choices!C:C,MATCH(M18,choices!A:A,0)+12),""),IF(M18=INDEX(choices!A:A,MATCH(M18,choices!A:A,0)+12), "
",""),IF(M18=INDEX(choices!A:A,MATCH(M18,choices!A:A,0)+13),INDEX(choices!C:C,MATCH(M18,choices!A:A,0)+13),""),IF(M18=INDEX(choices!A:A,MATCH(M18,choices!A:A,0)+13), "
",""),IF(M18=INDEX(choices!A:A,MATCH(M18,choices!A:A,0)+14),INDEX(choices!C:C,MATCH(M18,choices!A:A,0)+14),""),IF(M18=INDEX(choices!A:A,MATCH(M18,choices!A:A,0)+14), "
",""),IF(M18=INDEX(choices!A:A,MATCH(M18,choices!A:A,0)+15),INDEX(choices!C:C,MATCH(M18,choices!A:A,0)+15),""),IF(M18=INDEX(choices!A:A,MATCH(M18,choices!A:A,0)+15), "
",""),IF(M18=INDEX(choices!A:A,MATCH(M18,choices!A:A,0)+16),INDEX(choices!C:C,MATCH(M18,choices!A:A,0)+16),""),IF(M18=INDEX(choices!A:A,MATCH(M18,choices!A:A,0)+16), "
",""),IF(M18=INDEX(choices!A:A,MATCH(M18,choices!A:A,0)+17),INDEX(choices!C:C,MATCH(M18,choices!A:A,0)+17),""),IF(M18=INDEX(choices!A:A,MATCH(M18,choices!A:A,0)+17), "
",""),IF(M18=INDEX(choices!A:A,MATCH(M18,choices!A:A,0)+18),INDEX(choices!C:C,MATCH(M18,choices!A:A,0)+18),""),IF(M18=INDEX(choices!A:A,MATCH(M18,choices!A:A,0)+18), "
",""),IF(M18=INDEX(choices!A:A,MATCH(M18,choices!A:A,0)+19),INDEX(choices!C:C,MATCH(M18,choices!A:A,0)+19),""),IF(M18=INDEX(choices!A:A,MATCH(M18,choices!A:A,0)+19), "
",""),IF(M18=INDEX(choices!A:A,MATCH(M18,choices!A:A,0)+20),INDEX(choices!C:C,MATCH(M18,choices!A:A,0)+20),""),IF(M18=INDEX(choices!A:A,MATCH(M18,choices!A:A,0)+20), "
","")," ")</f>
        <v xml:space="preserve">1. نعم
2.لا
98. لا أعرف
 </v>
      </c>
      <c r="H18" s="64" t="str">
        <f>CONCATENATE("If 2--&gt;",N24)</f>
        <v>If 2--&gt;q14404_1</v>
      </c>
      <c r="I18" s="1" t="str">
        <f>CONCATENATE(I17, "_1")</f>
        <v>14403_1</v>
      </c>
      <c r="K18" s="19"/>
      <c r="L18" s="1" t="s">
        <v>18</v>
      </c>
      <c r="M18" s="1" t="s">
        <v>140</v>
      </c>
      <c r="N18" s="64" t="str">
        <f>CONCATENATE("q",I18)</f>
        <v>q14403_1</v>
      </c>
      <c r="O18" s="306" t="str">
        <f>CONCATENATE(I18,". ",E18)</f>
        <v>14403_1. في الأسابيع الأربعة الماضية، هل اضطريت أنت أو أحد أفراد الأسرة إلى تناول أنواع محدودة من الأطعمة بسبب نقص الدخل؟</v>
      </c>
      <c r="P18" s="257" t="str">
        <f>CONCATENATE(I18,". ",B18)</f>
        <v xml:space="preserve">14403_1. In the past four weeks, did you or any household member have to eat a limited variety of foods due to a lack of resources? </v>
      </c>
      <c r="Q18" s="28"/>
      <c r="R18" s="28"/>
      <c r="S18" s="427" t="str">
        <f>CONCATENATE("data('valid_overall') ==1 ")</f>
        <v xml:space="preserve">data('valid_overall') ==1 </v>
      </c>
      <c r="T18" s="262"/>
      <c r="U18" s="262"/>
      <c r="V18" s="262"/>
      <c r="W18" s="262"/>
      <c r="X18" s="262"/>
      <c r="Y18" s="1" t="b">
        <v>1</v>
      </c>
    </row>
    <row r="19" spans="1:25" s="1" customFormat="1">
      <c r="B19" s="31"/>
      <c r="C19" s="31"/>
      <c r="D19" s="28"/>
      <c r="E19" s="31"/>
      <c r="F19" s="31"/>
      <c r="G19" s="28"/>
      <c r="J19" s="135" t="s">
        <v>23</v>
      </c>
      <c r="K19" s="19" t="str">
        <f>CONCATENATE("selected (data('",N18,"'), '1')")</f>
        <v>selected (data('q14403_1'), '1')</v>
      </c>
      <c r="N19" s="64"/>
      <c r="O19" s="31"/>
      <c r="P19" s="31"/>
      <c r="Q19" s="28"/>
      <c r="R19" s="28"/>
      <c r="S19" s="43"/>
    </row>
    <row r="20" spans="1:25" s="1" customFormat="1" ht="180">
      <c r="A20" s="48" t="str">
        <f>N20</f>
        <v>q14403_2</v>
      </c>
      <c r="B20" s="31" t="s">
        <v>910</v>
      </c>
      <c r="C20" s="31"/>
      <c r="D20" s="127" t="str">
        <f>CONCATENATE(INDEX(choices!D:D,MATCH(M20,choices!A:A,0)),"
",IF(M20=INDEX(choices!A:A,MATCH(M20,choices!A:A,0)+1),INDEX(choices!D:D,MATCH(M20,choices!A:A,0)+1),""),IF(M20=INDEX(choices!A:A,MATCH(M20,choices!A:A,0)+1), "
",""),IF(M20=INDEX(choices!A:A,MATCH(M20,choices!A:A,0)+2),INDEX(choices!D:D,MATCH(M20,choices!A:A,0)+2),""),IF(M20=INDEX(choices!A:A,MATCH(M20,choices!A:A,0)+2), "
",""),IF(M20=INDEX(choices!A:A,MATCH(M20,choices!A:A,0)+3),INDEX(choices!D:D,MATCH(M20,choices!A:A,0)+3),""),IF(M20=INDEX(choices!A:A,MATCH(M20,choices!A:A,0)+3), "
",""),IF(M20=INDEX(choices!A:A,MATCH(M20,choices!A:A,0)+4),INDEX(choices!D:D,MATCH(M20,choices!A:A,0)+4),""),IF(M20=INDEX(choices!A:A,MATCH(M20,choices!A:A,0)+4), "
",""),IF(M20=INDEX(choices!A:A,MATCH(M20,choices!A:A,0)+5),INDEX(choices!D:D,MATCH(M20,choices!A:A,0)+5),""),IF(M20=INDEX(choices!A:A,MATCH(M20,choices!A:A,0)+5), "
",""),IF(M20=INDEX(choices!A:A,MATCH(M20,choices!A:A,0)+6),INDEX(choices!D:D,MATCH(M20,choices!A:A,0)+6),""),IF(M20=INDEX(choices!A:A,MATCH(M20,choices!A:A,0)+6), "
",""),IF(M20=INDEX(choices!A:A,MATCH(M20,choices!A:A,0)+7),INDEX(choices!D:D,MATCH(M20,choices!A:A,0)+7),""),IF(M20=INDEX(choices!A:A,MATCH(M20,choices!A:A,0)+7), "
",""),IF(M20=INDEX(choices!A:A,MATCH(M20,choices!A:A,0)+8),INDEX(choices!D:D,MATCH(M20,choices!A:A,0)+8),""),IF(M20=INDEX(choices!A:A,MATCH(M20,choices!A:A,0)+8), "
",""),IF(M20=INDEX(choices!A:A,MATCH(M20,choices!A:A,0)+9),INDEX(choices!D:D,MATCH(M20,choices!A:A,0)+9),""),IF(M20=INDEX(choices!A:A,MATCH(M20,choices!A:A,0)+9), "
",""),IF(M20=INDEX(choices!A:A,MATCH(M20,choices!A:A,0)+10),INDEX(choices!D:D,MATCH(M20,choices!A:A,0)+10),""),IF(M20=INDEX(choices!A:A,MATCH(M20,choices!A:A,0)+10), "
",""),IF(M20=INDEX(choices!A:A,MATCH(M20,choices!A:A,0)+11),INDEX(choices!D:D,MATCH(M20,choices!A:A,0)+11),""),IF(M20=INDEX(choices!A:A,MATCH(M20,choices!A:A,0)+11), "
",""),IF(M20=INDEX(choices!A:A,MATCH(M20,choices!A:A,0)+12),INDEX(choices!D:D,MATCH(M20,choices!A:A,0)+12),""),IF(M20=INDEX(choices!A:A,MATCH(M20,choices!A:A,0)+12), "
",""),IF(M20=INDEX(choices!A:A,MATCH(M20,choices!A:A,0)+13),INDEX(choices!D:D,MATCH(M20,choices!A:A,0)+13),""),IF(M20=INDEX(choices!A:A,MATCH(M20,choices!A:A,0)+13), "
",""),IF(M20=INDEX(choices!A:A,MATCH(M20,choices!A:A,0)+14),INDEX(choices!D:D,MATCH(M20,choices!A:A,0)+14),""),IF(M20=INDEX(choices!A:A,MATCH(M20,choices!A:A,0)+14), "
",""),IF(M20=INDEX(choices!A:A,MATCH(M20,choices!A:A,0)+15),INDEX(choices!D:D,MATCH(M20,choices!A:A,0)+15),""),IF(M20=INDEX(choices!A:A,MATCH(M20,choices!A:A,0)+15), "
",""),IF(M20=INDEX(choices!A:A,MATCH(M20,choices!A:A,0)+16),INDEX(choices!D:D,MATCH(M20,choices!A:A,0)+16),""),IF(M20=INDEX(choices!A:A,MATCH(M20,choices!A:A,0)+16), "
",""),IF(M20=INDEX(choices!A:A,MATCH(M20,choices!A:A,0)+17),INDEX(choices!D:D,MATCH(M20,choices!A:A,0)+17),""),IF(M20=INDEX(choices!A:A,MATCH(M20,choices!A:A,0)+17), "
",""),IF(M20=INDEX(choices!A:A,MATCH(M20,choices!A:A,0)+18),INDEX(choices!D:D,MATCH(M20,choices!A:A,0)+18),""),IF(M20=INDEX(choices!A:A,MATCH(M20,choices!A:A,0)+18), "
",""),IF(M20=INDEX(choices!A:A,MATCH(M20,choices!A:A,0)+19),INDEX(choices!D:D,MATCH(M20,choices!A:A,0)+19),""),IF(M20=INDEX(choices!A:A,MATCH(M20,choices!A:A,0)+19), "
",""),IF(M20=INDEX(choices!A:A,MATCH(M20,choices!A:A,0)+20),INDEX(choices!D:D,MATCH(M20,choices!A:A,0)+20),""),IF(M20=INDEX(choices!A:A,MATCH(M20,choices!A:A,0)+20), "
",""))</f>
        <v xml:space="preserve">1. Rarely (once or twice in the past four weeks) 
2. Sometimes (three to ten times in the past four weeks) 
3. Often (more than ten times in the past four weeks) 
</v>
      </c>
      <c r="E20" s="31" t="s">
        <v>909</v>
      </c>
      <c r="F20" s="31"/>
      <c r="G20" s="67" t="str">
        <f>CONCATENATE(INDEX(choices!C:C,MATCH(M20,choices!A:A,0)),"
",IF(M20=INDEX(choices!A:A,MATCH(M20,choices!A:A,0)+1),INDEX(choices!C:C,MATCH(M20,choices!A:A,0)+1),""),IF(M20=INDEX(choices!A:A,MATCH(M20,choices!A:A,0)+1), "
",""),IF(M20=INDEX(choices!A:A,MATCH(M20,choices!A:A,0)+2),INDEX(choices!C:C,MATCH(M20,choices!A:A,0)+2),""),IF(M20=INDEX(choices!A:A,MATCH(M20,choices!A:A,0)+2), "
",""),IF(M20=INDEX(choices!A:A,MATCH(M20,choices!A:A,0)+3),INDEX(choices!C:C,MATCH(M20,choices!A:A,0)+3),""),IF(M20=INDEX(choices!A:A,MATCH(M20,choices!A:A,0)+3), "
",""),IF(M20=INDEX(choices!A:A,MATCH(M20,choices!A:A,0)+4),INDEX(choices!C:C,MATCH(M20,choices!A:A,0)+4),""),IF(M20=INDEX(choices!A:A,MATCH(M20,choices!A:A,0)+4), "
",""),IF(M20=INDEX(choices!A:A,MATCH(M20,choices!A:A,0)+5),INDEX(choices!C:C,MATCH(M20,choices!A:A,0)+5),""),IF(M20=INDEX(choices!A:A,MATCH(M20,choices!A:A,0)+5), "
",""),IF(M20=INDEX(choices!A:A,MATCH(M20,choices!A:A,0)+6),INDEX(choices!C:C,MATCH(M20,choices!A:A,0)+6),""),IF(M20=INDEX(choices!A:A,MATCH(M20,choices!A:A,0)+6), "
",""),IF(M20=INDEX(choices!A:A,MATCH(M20,choices!A:A,0)+7),INDEX(choices!C:C,MATCH(M20,choices!A:A,0)+7),""),IF(M20=INDEX(choices!A:A,MATCH(M20,choices!A:A,0)+7), "
",""),IF(M20=INDEX(choices!A:A,MATCH(M20,choices!A:A,0)+8),INDEX(choices!C:C,MATCH(M20,choices!A:A,0)+8),""),IF(M20=INDEX(choices!A:A,MATCH(M20,choices!A:A,0)+8), "
",""),IF(M20=INDEX(choices!A:A,MATCH(M20,choices!A:A,0)+9),INDEX(choices!C:C,MATCH(M20,choices!A:A,0)+9),""),IF(M20=INDEX(choices!A:A,MATCH(M20,choices!A:A,0)+9), "
",""),IF(M20=INDEX(choices!A:A,MATCH(M20,choices!A:A,0)+10),INDEX(choices!C:C,MATCH(M20,choices!A:A,0)+10),""),IF(M20=INDEX(choices!A:A,MATCH(M20,choices!A:A,0)+10), "
",""),IF(M20=INDEX(choices!A:A,MATCH(M20,choices!A:A,0)+11),INDEX(choices!C:C,MATCH(M20,choices!A:A,0)+11),""),IF(M20=INDEX(choices!A:A,MATCH(M20,choices!A:A,0)+11), "
",""),IF(M20=INDEX(choices!A:A,MATCH(M20,choices!A:A,0)+12),INDEX(choices!C:C,MATCH(M20,choices!A:A,0)+12),""),IF(M20=INDEX(choices!A:A,MATCH(M20,choices!A:A,0)+12), "
",""),IF(M20=INDEX(choices!A:A,MATCH(M20,choices!A:A,0)+13),INDEX(choices!C:C,MATCH(M20,choices!A:A,0)+13),""),IF(M20=INDEX(choices!A:A,MATCH(M20,choices!A:A,0)+13), "
",""),IF(M20=INDEX(choices!A:A,MATCH(M20,choices!A:A,0)+14),INDEX(choices!C:C,MATCH(M20,choices!A:A,0)+14),""),IF(M20=INDEX(choices!A:A,MATCH(M20,choices!A:A,0)+14), "
",""),IF(M20=INDEX(choices!A:A,MATCH(M20,choices!A:A,0)+15),INDEX(choices!C:C,MATCH(M20,choices!A:A,0)+15),""),IF(M20=INDEX(choices!A:A,MATCH(M20,choices!A:A,0)+15), "
",""),IF(M20=INDEX(choices!A:A,MATCH(M20,choices!A:A,0)+16),INDEX(choices!C:C,MATCH(M20,choices!A:A,0)+16),""),IF(M20=INDEX(choices!A:A,MATCH(M20,choices!A:A,0)+16), "
",""),IF(M20=INDEX(choices!A:A,MATCH(M20,choices!A:A,0)+17),INDEX(choices!C:C,MATCH(M20,choices!A:A,0)+17),""),IF(M20=INDEX(choices!A:A,MATCH(M20,choices!A:A,0)+17), "
",""),IF(M20=INDEX(choices!A:A,MATCH(M20,choices!A:A,0)+18),INDEX(choices!C:C,MATCH(M20,choices!A:A,0)+18),""),IF(M20=INDEX(choices!A:A,MATCH(M20,choices!A:A,0)+18), "
",""),IF(M20=INDEX(choices!A:A,MATCH(M20,choices!A:A,0)+19),INDEX(choices!C:C,MATCH(M20,choices!A:A,0)+19),""),IF(M20=INDEX(choices!A:A,MATCH(M20,choices!A:A,0)+19), "
",""),IF(M20=INDEX(choices!A:A,MATCH(M20,choices!A:A,0)+20),INDEX(choices!C:C,MATCH(M20,choices!A:A,0)+20),""),IF(M20=INDEX(choices!A:A,MATCH(M20,choices!A:A,0)+20), "
","")," ")</f>
        <v xml:space="preserve">1. نادرا مرة أو مرتين في الأسابيع الأربعة الماضية
2. أحيانا ثلاث إلى عشر مرات في الأسابيع الأربعة الماضية
3. . في كثير من الأحيان أكثر من عشر مرات في الأسابيع الأربعة الماضية
 </v>
      </c>
      <c r="I20" s="1" t="str">
        <f>CONCATENATE(I17, "_2")</f>
        <v>14403_2</v>
      </c>
      <c r="J20" s="135"/>
      <c r="K20" s="19"/>
      <c r="L20" s="1" t="s">
        <v>18</v>
      </c>
      <c r="M20" s="1" t="s">
        <v>908</v>
      </c>
      <c r="N20" s="64" t="str">
        <f>CONCATENATE("q",I20)</f>
        <v>q14403_2</v>
      </c>
      <c r="O20" s="306" t="str">
        <f>CONCATENATE(I20,". ",E20)</f>
        <v>14403_2. كم مرة؟</v>
      </c>
      <c r="P20" s="257" t="str">
        <f>CONCATENATE(I20,". ",B20)</f>
        <v xml:space="preserve">14403_2. How often? </v>
      </c>
      <c r="Q20" s="28"/>
      <c r="R20" s="28"/>
      <c r="S20" s="43" t="str">
        <f>CONCATENATE(K19, " &amp;&amp; ", '1_0_statistical_identification'!$S$164)</f>
        <v>selected (data('q14403_1'), '1') &amp;&amp; (data('valid_overall') == 1)</v>
      </c>
      <c r="T20" s="47"/>
      <c r="U20" s="47"/>
      <c r="V20" s="47"/>
      <c r="W20" s="47"/>
      <c r="X20" s="47"/>
      <c r="Y20" s="1" t="b">
        <v>1</v>
      </c>
    </row>
    <row r="21" spans="1:25" s="1" customFormat="1">
      <c r="B21" s="31"/>
      <c r="C21" s="31"/>
      <c r="D21" s="28"/>
      <c r="E21" s="31"/>
      <c r="F21" s="31"/>
      <c r="G21" s="28"/>
      <c r="J21" s="135" t="s">
        <v>42</v>
      </c>
      <c r="K21" s="19"/>
      <c r="L21" s="19"/>
      <c r="N21" s="64"/>
      <c r="O21" s="31"/>
      <c r="P21" s="31"/>
      <c r="Q21" s="28"/>
      <c r="R21" s="28"/>
      <c r="S21" s="43"/>
    </row>
    <row r="22" spans="1:25" s="1" customFormat="1">
      <c r="B22" s="31"/>
      <c r="C22" s="31"/>
      <c r="D22" s="28"/>
      <c r="E22" s="31"/>
      <c r="F22" s="31"/>
      <c r="G22" s="28"/>
      <c r="J22" s="1" t="s">
        <v>21</v>
      </c>
      <c r="K22" s="19"/>
      <c r="N22" s="64"/>
      <c r="O22" s="31"/>
      <c r="P22" s="31"/>
      <c r="Q22" s="28"/>
      <c r="R22" s="28"/>
      <c r="S22" s="43"/>
    </row>
    <row r="23" spans="1:25" s="1" customFormat="1">
      <c r="B23" s="31"/>
      <c r="C23" s="31"/>
      <c r="D23" s="28"/>
      <c r="E23" s="31"/>
      <c r="F23" s="31"/>
      <c r="G23" s="28"/>
      <c r="I23" s="1">
        <f>I17+1</f>
        <v>14404</v>
      </c>
      <c r="J23" s="1" t="s">
        <v>20</v>
      </c>
      <c r="K23" s="19"/>
      <c r="N23" s="64"/>
      <c r="O23" s="31"/>
      <c r="P23" s="31"/>
      <c r="Q23" s="28"/>
      <c r="R23" s="28"/>
      <c r="S23" s="43"/>
    </row>
    <row r="24" spans="1:25" s="1" customFormat="1" ht="180">
      <c r="A24" s="48" t="str">
        <f>N24</f>
        <v>q14404_1</v>
      </c>
      <c r="B24" s="31" t="s">
        <v>914</v>
      </c>
      <c r="C24" s="31"/>
      <c r="D24" s="127" t="str">
        <f>CONCATENATE(INDEX(choices!D:D,MATCH(M24,choices!A:A,0)),"
",IF(M24=INDEX(choices!A:A,MATCH(M24,choices!A:A,0)+1),INDEX(choices!D:D,MATCH(M24,choices!A:A,0)+1),""),IF(M24=INDEX(choices!A:A,MATCH(M24,choices!A:A,0)+1), "
",""),IF(M24=INDEX(choices!A:A,MATCH(M24,choices!A:A,0)+2),INDEX(choices!D:D,MATCH(M24,choices!A:A,0)+2),""),IF(M24=INDEX(choices!A:A,MATCH(M24,choices!A:A,0)+2), "
",""),IF(M24=INDEX(choices!A:A,MATCH(M24,choices!A:A,0)+3),INDEX(choices!D:D,MATCH(M24,choices!A:A,0)+3),""),IF(M24=INDEX(choices!A:A,MATCH(M24,choices!A:A,0)+3), "
",""),IF(M24=INDEX(choices!A:A,MATCH(M24,choices!A:A,0)+4),INDEX(choices!D:D,MATCH(M24,choices!A:A,0)+4),""),IF(M24=INDEX(choices!A:A,MATCH(M24,choices!A:A,0)+4), "
",""),IF(M24=INDEX(choices!A:A,MATCH(M24,choices!A:A,0)+5),INDEX(choices!D:D,MATCH(M24,choices!A:A,0)+5),""),IF(M24=INDEX(choices!A:A,MATCH(M24,choices!A:A,0)+5), "
",""),IF(M24=INDEX(choices!A:A,MATCH(M24,choices!A:A,0)+6),INDEX(choices!D:D,MATCH(M24,choices!A:A,0)+6),""),IF(M24=INDEX(choices!A:A,MATCH(M24,choices!A:A,0)+6), "
",""),IF(M24=INDEX(choices!A:A,MATCH(M24,choices!A:A,0)+7),INDEX(choices!D:D,MATCH(M24,choices!A:A,0)+7),""),IF(M24=INDEX(choices!A:A,MATCH(M24,choices!A:A,0)+7), "
",""),IF(M24=INDEX(choices!A:A,MATCH(M24,choices!A:A,0)+8),INDEX(choices!D:D,MATCH(M24,choices!A:A,0)+8),""),IF(M24=INDEX(choices!A:A,MATCH(M24,choices!A:A,0)+8), "
",""),IF(M24=INDEX(choices!A:A,MATCH(M24,choices!A:A,0)+9),INDEX(choices!D:D,MATCH(M24,choices!A:A,0)+9),""),IF(M24=INDEX(choices!A:A,MATCH(M24,choices!A:A,0)+9), "
",""),IF(M24=INDEX(choices!A:A,MATCH(M24,choices!A:A,0)+10),INDEX(choices!D:D,MATCH(M24,choices!A:A,0)+10),""),IF(M24=INDEX(choices!A:A,MATCH(M24,choices!A:A,0)+10), "
",""),IF(M24=INDEX(choices!A:A,MATCH(M24,choices!A:A,0)+11),INDEX(choices!D:D,MATCH(M24,choices!A:A,0)+11),""),IF(M24=INDEX(choices!A:A,MATCH(M24,choices!A:A,0)+11), "
",""),IF(M24=INDEX(choices!A:A,MATCH(M24,choices!A:A,0)+12),INDEX(choices!D:D,MATCH(M24,choices!A:A,0)+12),""),IF(M24=INDEX(choices!A:A,MATCH(M24,choices!A:A,0)+12), "
",""),IF(M24=INDEX(choices!A:A,MATCH(M24,choices!A:A,0)+13),INDEX(choices!D:D,MATCH(M24,choices!A:A,0)+13),""),IF(M24=INDEX(choices!A:A,MATCH(M24,choices!A:A,0)+13), "
",""),IF(M24=INDEX(choices!A:A,MATCH(M24,choices!A:A,0)+14),INDEX(choices!D:D,MATCH(M24,choices!A:A,0)+14),""),IF(M24=INDEX(choices!A:A,MATCH(M24,choices!A:A,0)+14), "
",""),IF(M24=INDEX(choices!A:A,MATCH(M24,choices!A:A,0)+15),INDEX(choices!D:D,MATCH(M24,choices!A:A,0)+15),""),IF(M24=INDEX(choices!A:A,MATCH(M24,choices!A:A,0)+15), "
",""),IF(M24=INDEX(choices!A:A,MATCH(M24,choices!A:A,0)+16),INDEX(choices!D:D,MATCH(M24,choices!A:A,0)+16),""),IF(M24=INDEX(choices!A:A,MATCH(M24,choices!A:A,0)+16), "
",""),IF(M24=INDEX(choices!A:A,MATCH(M24,choices!A:A,0)+17),INDEX(choices!D:D,MATCH(M24,choices!A:A,0)+17),""),IF(M24=INDEX(choices!A:A,MATCH(M24,choices!A:A,0)+17), "
",""),IF(M24=INDEX(choices!A:A,MATCH(M24,choices!A:A,0)+18),INDEX(choices!D:D,MATCH(M24,choices!A:A,0)+18),""),IF(M24=INDEX(choices!A:A,MATCH(M24,choices!A:A,0)+18), "
",""),IF(M24=INDEX(choices!A:A,MATCH(M24,choices!A:A,0)+19),INDEX(choices!D:D,MATCH(M24,choices!A:A,0)+19),""),IF(M24=INDEX(choices!A:A,MATCH(M24,choices!A:A,0)+19), "
",""),IF(M24=INDEX(choices!A:A,MATCH(M24,choices!A:A,0)+20),INDEX(choices!D:D,MATCH(M24,choices!A:A,0)+20),""),IF(M24=INDEX(choices!A:A,MATCH(M24,choices!A:A,0)+20), "
",""))</f>
        <v xml:space="preserve">1. Yes
2. No
98. Don’t know
</v>
      </c>
      <c r="E24" s="450" t="s">
        <v>1550</v>
      </c>
      <c r="F24" s="31"/>
      <c r="G24" s="67" t="str">
        <f>CONCATENATE(INDEX(choices!C:C,MATCH(M24,choices!A:A,0)),"
",IF(M24=INDEX(choices!A:A,MATCH(M24,choices!A:A,0)+1),INDEX(choices!C:C,MATCH(M24,choices!A:A,0)+1),""),IF(M24=INDEX(choices!A:A,MATCH(M24,choices!A:A,0)+1), "
",""),IF(M24=INDEX(choices!A:A,MATCH(M24,choices!A:A,0)+2),INDEX(choices!C:C,MATCH(M24,choices!A:A,0)+2),""),IF(M24=INDEX(choices!A:A,MATCH(M24,choices!A:A,0)+2), "
",""),IF(M24=INDEX(choices!A:A,MATCH(M24,choices!A:A,0)+3),INDEX(choices!C:C,MATCH(M24,choices!A:A,0)+3),""),IF(M24=INDEX(choices!A:A,MATCH(M24,choices!A:A,0)+3), "
",""),IF(M24=INDEX(choices!A:A,MATCH(M24,choices!A:A,0)+4),INDEX(choices!C:C,MATCH(M24,choices!A:A,0)+4),""),IF(M24=INDEX(choices!A:A,MATCH(M24,choices!A:A,0)+4), "
",""),IF(M24=INDEX(choices!A:A,MATCH(M24,choices!A:A,0)+5),INDEX(choices!C:C,MATCH(M24,choices!A:A,0)+5),""),IF(M24=INDEX(choices!A:A,MATCH(M24,choices!A:A,0)+5), "
",""),IF(M24=INDEX(choices!A:A,MATCH(M24,choices!A:A,0)+6),INDEX(choices!C:C,MATCH(M24,choices!A:A,0)+6),""),IF(M24=INDEX(choices!A:A,MATCH(M24,choices!A:A,0)+6), "
",""),IF(M24=INDEX(choices!A:A,MATCH(M24,choices!A:A,0)+7),INDEX(choices!C:C,MATCH(M24,choices!A:A,0)+7),""),IF(M24=INDEX(choices!A:A,MATCH(M24,choices!A:A,0)+7), "
",""),IF(M24=INDEX(choices!A:A,MATCH(M24,choices!A:A,0)+8),INDEX(choices!C:C,MATCH(M24,choices!A:A,0)+8),""),IF(M24=INDEX(choices!A:A,MATCH(M24,choices!A:A,0)+8), "
",""),IF(M24=INDEX(choices!A:A,MATCH(M24,choices!A:A,0)+9),INDEX(choices!C:C,MATCH(M24,choices!A:A,0)+9),""),IF(M24=INDEX(choices!A:A,MATCH(M24,choices!A:A,0)+9), "
",""),IF(M24=INDEX(choices!A:A,MATCH(M24,choices!A:A,0)+10),INDEX(choices!C:C,MATCH(M24,choices!A:A,0)+10),""),IF(M24=INDEX(choices!A:A,MATCH(M24,choices!A:A,0)+10), "
",""),IF(M24=INDEX(choices!A:A,MATCH(M24,choices!A:A,0)+11),INDEX(choices!C:C,MATCH(M24,choices!A:A,0)+11),""),IF(M24=INDEX(choices!A:A,MATCH(M24,choices!A:A,0)+11), "
",""),IF(M24=INDEX(choices!A:A,MATCH(M24,choices!A:A,0)+12),INDEX(choices!C:C,MATCH(M24,choices!A:A,0)+12),""),IF(M24=INDEX(choices!A:A,MATCH(M24,choices!A:A,0)+12), "
",""),IF(M24=INDEX(choices!A:A,MATCH(M24,choices!A:A,0)+13),INDEX(choices!C:C,MATCH(M24,choices!A:A,0)+13),""),IF(M24=INDEX(choices!A:A,MATCH(M24,choices!A:A,0)+13), "
",""),IF(M24=INDEX(choices!A:A,MATCH(M24,choices!A:A,0)+14),INDEX(choices!C:C,MATCH(M24,choices!A:A,0)+14),""),IF(M24=INDEX(choices!A:A,MATCH(M24,choices!A:A,0)+14), "
",""),IF(M24=INDEX(choices!A:A,MATCH(M24,choices!A:A,0)+15),INDEX(choices!C:C,MATCH(M24,choices!A:A,0)+15),""),IF(M24=INDEX(choices!A:A,MATCH(M24,choices!A:A,0)+15), "
",""),IF(M24=INDEX(choices!A:A,MATCH(M24,choices!A:A,0)+16),INDEX(choices!C:C,MATCH(M24,choices!A:A,0)+16),""),IF(M24=INDEX(choices!A:A,MATCH(M24,choices!A:A,0)+16), "
",""),IF(M24=INDEX(choices!A:A,MATCH(M24,choices!A:A,0)+17),INDEX(choices!C:C,MATCH(M24,choices!A:A,0)+17),""),IF(M24=INDEX(choices!A:A,MATCH(M24,choices!A:A,0)+17), "
",""),IF(M24=INDEX(choices!A:A,MATCH(M24,choices!A:A,0)+18),INDEX(choices!C:C,MATCH(M24,choices!A:A,0)+18),""),IF(M24=INDEX(choices!A:A,MATCH(M24,choices!A:A,0)+18), "
",""),IF(M24=INDEX(choices!A:A,MATCH(M24,choices!A:A,0)+19),INDEX(choices!C:C,MATCH(M24,choices!A:A,0)+19),""),IF(M24=INDEX(choices!A:A,MATCH(M24,choices!A:A,0)+19), "
",""),IF(M24=INDEX(choices!A:A,MATCH(M24,choices!A:A,0)+20),INDEX(choices!C:C,MATCH(M24,choices!A:A,0)+20),""),IF(M24=INDEX(choices!A:A,MATCH(M24,choices!A:A,0)+20), "
","")," ")</f>
        <v xml:space="preserve">1. نعم
2.لا
98. لا أعرف
 </v>
      </c>
      <c r="H24" s="64" t="str">
        <f>CONCATENATE("If 2--&gt;",N30)</f>
        <v>If 2--&gt;q14405_1</v>
      </c>
      <c r="I24" s="1" t="str">
        <f>CONCATENATE(I23, "_1")</f>
        <v>14404_1</v>
      </c>
      <c r="K24" s="19"/>
      <c r="L24" s="1" t="s">
        <v>18</v>
      </c>
      <c r="M24" s="1" t="s">
        <v>140</v>
      </c>
      <c r="N24" s="64" t="str">
        <f>CONCATENATE("q",I24)</f>
        <v>q14404_1</v>
      </c>
      <c r="O24" s="306" t="str">
        <f>CONCATENATE(I24,". ",E24)</f>
        <v>14404_1. في الأسابيع الأربعة الماضية، هل اضطررت أنت أو أي من أفراد الأسرة لتناول بعض الأطعمة التي لم تكن تريد أن تأكلها بسبب نقص الموارد للحصول على أنواع أخرى من المواد الغذائية؟</v>
      </c>
      <c r="P24" s="257" t="str">
        <f>CONCATENATE(I24,". ",B24)</f>
        <v xml:space="preserve">14404_1. In the past four weeks, did you or any household member have to eat some foods that you really did not want to eat because of a lack of resources to obtain other types of food? </v>
      </c>
      <c r="Q24" s="28"/>
      <c r="R24" s="28"/>
      <c r="S24" s="427" t="str">
        <f>CONCATENATE("data('valid_overall') ==1 ")</f>
        <v xml:space="preserve">data('valid_overall') ==1 </v>
      </c>
      <c r="T24" s="262"/>
      <c r="U24" s="262"/>
      <c r="V24" s="262"/>
      <c r="W24" s="262"/>
      <c r="X24" s="262"/>
      <c r="Y24" s="1" t="b">
        <v>1</v>
      </c>
    </row>
    <row r="25" spans="1:25" s="1" customFormat="1">
      <c r="B25" s="31"/>
      <c r="C25" s="31"/>
      <c r="D25" s="28"/>
      <c r="E25" s="31"/>
      <c r="F25" s="31"/>
      <c r="G25" s="28"/>
      <c r="J25" s="135" t="s">
        <v>23</v>
      </c>
      <c r="K25" s="19" t="str">
        <f>CONCATENATE("selected (data('",N24,"'), '1')")</f>
        <v>selected (data('q14404_1'), '1')</v>
      </c>
      <c r="N25" s="64"/>
      <c r="O25" s="31"/>
      <c r="P25" s="31"/>
      <c r="Q25" s="28"/>
      <c r="R25" s="28"/>
      <c r="S25" s="43"/>
    </row>
    <row r="26" spans="1:25" s="1" customFormat="1" ht="180">
      <c r="A26" s="48" t="str">
        <f>N26</f>
        <v>q14404_2</v>
      </c>
      <c r="B26" s="31" t="s">
        <v>910</v>
      </c>
      <c r="C26" s="31"/>
      <c r="D26" s="127" t="str">
        <f>CONCATENATE(INDEX(choices!D:D,MATCH(M26,choices!A:A,0)),"
",IF(M26=INDEX(choices!A:A,MATCH(M26,choices!A:A,0)+1),INDEX(choices!D:D,MATCH(M26,choices!A:A,0)+1),""),IF(M26=INDEX(choices!A:A,MATCH(M26,choices!A:A,0)+1), "
",""),IF(M26=INDEX(choices!A:A,MATCH(M26,choices!A:A,0)+2),INDEX(choices!D:D,MATCH(M26,choices!A:A,0)+2),""),IF(M26=INDEX(choices!A:A,MATCH(M26,choices!A:A,0)+2), "
",""),IF(M26=INDEX(choices!A:A,MATCH(M26,choices!A:A,0)+3),INDEX(choices!D:D,MATCH(M26,choices!A:A,0)+3),""),IF(M26=INDEX(choices!A:A,MATCH(M26,choices!A:A,0)+3), "
",""),IF(M26=INDEX(choices!A:A,MATCH(M26,choices!A:A,0)+4),INDEX(choices!D:D,MATCH(M26,choices!A:A,0)+4),""),IF(M26=INDEX(choices!A:A,MATCH(M26,choices!A:A,0)+4), "
",""),IF(M26=INDEX(choices!A:A,MATCH(M26,choices!A:A,0)+5),INDEX(choices!D:D,MATCH(M26,choices!A:A,0)+5),""),IF(M26=INDEX(choices!A:A,MATCH(M26,choices!A:A,0)+5), "
",""),IF(M26=INDEX(choices!A:A,MATCH(M26,choices!A:A,0)+6),INDEX(choices!D:D,MATCH(M26,choices!A:A,0)+6),""),IF(M26=INDEX(choices!A:A,MATCH(M26,choices!A:A,0)+6), "
",""),IF(M26=INDEX(choices!A:A,MATCH(M26,choices!A:A,0)+7),INDEX(choices!D:D,MATCH(M26,choices!A:A,0)+7),""),IF(M26=INDEX(choices!A:A,MATCH(M26,choices!A:A,0)+7), "
",""),IF(M26=INDEX(choices!A:A,MATCH(M26,choices!A:A,0)+8),INDEX(choices!D:D,MATCH(M26,choices!A:A,0)+8),""),IF(M26=INDEX(choices!A:A,MATCH(M26,choices!A:A,0)+8), "
",""),IF(M26=INDEX(choices!A:A,MATCH(M26,choices!A:A,0)+9),INDEX(choices!D:D,MATCH(M26,choices!A:A,0)+9),""),IF(M26=INDEX(choices!A:A,MATCH(M26,choices!A:A,0)+9), "
",""),IF(M26=INDEX(choices!A:A,MATCH(M26,choices!A:A,0)+10),INDEX(choices!D:D,MATCH(M26,choices!A:A,0)+10),""),IF(M26=INDEX(choices!A:A,MATCH(M26,choices!A:A,0)+10), "
",""),IF(M26=INDEX(choices!A:A,MATCH(M26,choices!A:A,0)+11),INDEX(choices!D:D,MATCH(M26,choices!A:A,0)+11),""),IF(M26=INDEX(choices!A:A,MATCH(M26,choices!A:A,0)+11), "
",""),IF(M26=INDEX(choices!A:A,MATCH(M26,choices!A:A,0)+12),INDEX(choices!D:D,MATCH(M26,choices!A:A,0)+12),""),IF(M26=INDEX(choices!A:A,MATCH(M26,choices!A:A,0)+12), "
",""),IF(M26=INDEX(choices!A:A,MATCH(M26,choices!A:A,0)+13),INDEX(choices!D:D,MATCH(M26,choices!A:A,0)+13),""),IF(M26=INDEX(choices!A:A,MATCH(M26,choices!A:A,0)+13), "
",""),IF(M26=INDEX(choices!A:A,MATCH(M26,choices!A:A,0)+14),INDEX(choices!D:D,MATCH(M26,choices!A:A,0)+14),""),IF(M26=INDEX(choices!A:A,MATCH(M26,choices!A:A,0)+14), "
",""),IF(M26=INDEX(choices!A:A,MATCH(M26,choices!A:A,0)+15),INDEX(choices!D:D,MATCH(M26,choices!A:A,0)+15),""),IF(M26=INDEX(choices!A:A,MATCH(M26,choices!A:A,0)+15), "
",""),IF(M26=INDEX(choices!A:A,MATCH(M26,choices!A:A,0)+16),INDEX(choices!D:D,MATCH(M26,choices!A:A,0)+16),""),IF(M26=INDEX(choices!A:A,MATCH(M26,choices!A:A,0)+16), "
",""),IF(M26=INDEX(choices!A:A,MATCH(M26,choices!A:A,0)+17),INDEX(choices!D:D,MATCH(M26,choices!A:A,0)+17),""),IF(M26=INDEX(choices!A:A,MATCH(M26,choices!A:A,0)+17), "
",""),IF(M26=INDEX(choices!A:A,MATCH(M26,choices!A:A,0)+18),INDEX(choices!D:D,MATCH(M26,choices!A:A,0)+18),""),IF(M26=INDEX(choices!A:A,MATCH(M26,choices!A:A,0)+18), "
",""),IF(M26=INDEX(choices!A:A,MATCH(M26,choices!A:A,0)+19),INDEX(choices!D:D,MATCH(M26,choices!A:A,0)+19),""),IF(M26=INDEX(choices!A:A,MATCH(M26,choices!A:A,0)+19), "
",""),IF(M26=INDEX(choices!A:A,MATCH(M26,choices!A:A,0)+20),INDEX(choices!D:D,MATCH(M26,choices!A:A,0)+20),""),IF(M26=INDEX(choices!A:A,MATCH(M26,choices!A:A,0)+20), "
",""))</f>
        <v xml:space="preserve">1. Rarely (once or twice in the past four weeks) 
2. Sometimes (three to ten times in the past four weeks) 
3. Often (more than ten times in the past four weeks) 
</v>
      </c>
      <c r="E26" s="31" t="s">
        <v>909</v>
      </c>
      <c r="F26" s="31"/>
      <c r="G26" s="67" t="str">
        <f>CONCATENATE(INDEX(choices!C:C,MATCH(M26,choices!A:A,0)),"
",IF(M26=INDEX(choices!A:A,MATCH(M26,choices!A:A,0)+1),INDEX(choices!C:C,MATCH(M26,choices!A:A,0)+1),""),IF(M26=INDEX(choices!A:A,MATCH(M26,choices!A:A,0)+1), "
",""),IF(M26=INDEX(choices!A:A,MATCH(M26,choices!A:A,0)+2),INDEX(choices!C:C,MATCH(M26,choices!A:A,0)+2),""),IF(M26=INDEX(choices!A:A,MATCH(M26,choices!A:A,0)+2), "
",""),IF(M26=INDEX(choices!A:A,MATCH(M26,choices!A:A,0)+3),INDEX(choices!C:C,MATCH(M26,choices!A:A,0)+3),""),IF(M26=INDEX(choices!A:A,MATCH(M26,choices!A:A,0)+3), "
",""),IF(M26=INDEX(choices!A:A,MATCH(M26,choices!A:A,0)+4),INDEX(choices!C:C,MATCH(M26,choices!A:A,0)+4),""),IF(M26=INDEX(choices!A:A,MATCH(M26,choices!A:A,0)+4), "
",""),IF(M26=INDEX(choices!A:A,MATCH(M26,choices!A:A,0)+5),INDEX(choices!C:C,MATCH(M26,choices!A:A,0)+5),""),IF(M26=INDEX(choices!A:A,MATCH(M26,choices!A:A,0)+5), "
",""),IF(M26=INDEX(choices!A:A,MATCH(M26,choices!A:A,0)+6),INDEX(choices!C:C,MATCH(M26,choices!A:A,0)+6),""),IF(M26=INDEX(choices!A:A,MATCH(M26,choices!A:A,0)+6), "
",""),IF(M26=INDEX(choices!A:A,MATCH(M26,choices!A:A,0)+7),INDEX(choices!C:C,MATCH(M26,choices!A:A,0)+7),""),IF(M26=INDEX(choices!A:A,MATCH(M26,choices!A:A,0)+7), "
",""),IF(M26=INDEX(choices!A:A,MATCH(M26,choices!A:A,0)+8),INDEX(choices!C:C,MATCH(M26,choices!A:A,0)+8),""),IF(M26=INDEX(choices!A:A,MATCH(M26,choices!A:A,0)+8), "
",""),IF(M26=INDEX(choices!A:A,MATCH(M26,choices!A:A,0)+9),INDEX(choices!C:C,MATCH(M26,choices!A:A,0)+9),""),IF(M26=INDEX(choices!A:A,MATCH(M26,choices!A:A,0)+9), "
",""),IF(M26=INDEX(choices!A:A,MATCH(M26,choices!A:A,0)+10),INDEX(choices!C:C,MATCH(M26,choices!A:A,0)+10),""),IF(M26=INDEX(choices!A:A,MATCH(M26,choices!A:A,0)+10), "
",""),IF(M26=INDEX(choices!A:A,MATCH(M26,choices!A:A,0)+11),INDEX(choices!C:C,MATCH(M26,choices!A:A,0)+11),""),IF(M26=INDEX(choices!A:A,MATCH(M26,choices!A:A,0)+11), "
",""),IF(M26=INDEX(choices!A:A,MATCH(M26,choices!A:A,0)+12),INDEX(choices!C:C,MATCH(M26,choices!A:A,0)+12),""),IF(M26=INDEX(choices!A:A,MATCH(M26,choices!A:A,0)+12), "
",""),IF(M26=INDEX(choices!A:A,MATCH(M26,choices!A:A,0)+13),INDEX(choices!C:C,MATCH(M26,choices!A:A,0)+13),""),IF(M26=INDEX(choices!A:A,MATCH(M26,choices!A:A,0)+13), "
",""),IF(M26=INDEX(choices!A:A,MATCH(M26,choices!A:A,0)+14),INDEX(choices!C:C,MATCH(M26,choices!A:A,0)+14),""),IF(M26=INDEX(choices!A:A,MATCH(M26,choices!A:A,0)+14), "
",""),IF(M26=INDEX(choices!A:A,MATCH(M26,choices!A:A,0)+15),INDEX(choices!C:C,MATCH(M26,choices!A:A,0)+15),""),IF(M26=INDEX(choices!A:A,MATCH(M26,choices!A:A,0)+15), "
",""),IF(M26=INDEX(choices!A:A,MATCH(M26,choices!A:A,0)+16),INDEX(choices!C:C,MATCH(M26,choices!A:A,0)+16),""),IF(M26=INDEX(choices!A:A,MATCH(M26,choices!A:A,0)+16), "
",""),IF(M26=INDEX(choices!A:A,MATCH(M26,choices!A:A,0)+17),INDEX(choices!C:C,MATCH(M26,choices!A:A,0)+17),""),IF(M26=INDEX(choices!A:A,MATCH(M26,choices!A:A,0)+17), "
",""),IF(M26=INDEX(choices!A:A,MATCH(M26,choices!A:A,0)+18),INDEX(choices!C:C,MATCH(M26,choices!A:A,0)+18),""),IF(M26=INDEX(choices!A:A,MATCH(M26,choices!A:A,0)+18), "
",""),IF(M26=INDEX(choices!A:A,MATCH(M26,choices!A:A,0)+19),INDEX(choices!C:C,MATCH(M26,choices!A:A,0)+19),""),IF(M26=INDEX(choices!A:A,MATCH(M26,choices!A:A,0)+19), "
",""),IF(M26=INDEX(choices!A:A,MATCH(M26,choices!A:A,0)+20),INDEX(choices!C:C,MATCH(M26,choices!A:A,0)+20),""),IF(M26=INDEX(choices!A:A,MATCH(M26,choices!A:A,0)+20), "
","")," ")</f>
        <v xml:space="preserve">1. نادرا مرة أو مرتين في الأسابيع الأربعة الماضية
2. أحيانا ثلاث إلى عشر مرات في الأسابيع الأربعة الماضية
3. . في كثير من الأحيان أكثر من عشر مرات في الأسابيع الأربعة الماضية
 </v>
      </c>
      <c r="I26" s="1" t="str">
        <f>CONCATENATE(I23, "_2")</f>
        <v>14404_2</v>
      </c>
      <c r="J26" s="135"/>
      <c r="K26" s="19"/>
      <c r="L26" s="1" t="s">
        <v>18</v>
      </c>
      <c r="M26" s="1" t="s">
        <v>908</v>
      </c>
      <c r="N26" s="64" t="str">
        <f>CONCATENATE("q",I26)</f>
        <v>q14404_2</v>
      </c>
      <c r="O26" s="306" t="str">
        <f>CONCATENATE(I26,". ",E26)</f>
        <v>14404_2. كم مرة؟</v>
      </c>
      <c r="P26" s="257" t="str">
        <f>CONCATENATE(I26,". ",B26)</f>
        <v xml:space="preserve">14404_2. How often? </v>
      </c>
      <c r="Q26" s="28"/>
      <c r="R26" s="28"/>
      <c r="S26" s="43" t="str">
        <f>CONCATENATE(K25, " &amp;&amp; ", '1_0_statistical_identification'!$S$164)</f>
        <v>selected (data('q14404_1'), '1') &amp;&amp; (data('valid_overall') == 1)</v>
      </c>
      <c r="T26" s="47"/>
      <c r="U26" s="47"/>
      <c r="V26" s="47"/>
      <c r="W26" s="47"/>
      <c r="X26" s="47"/>
      <c r="Y26" s="1" t="b">
        <v>1</v>
      </c>
    </row>
    <row r="27" spans="1:25" s="1" customFormat="1">
      <c r="B27" s="31"/>
      <c r="C27" s="31"/>
      <c r="D27" s="28"/>
      <c r="E27" s="31"/>
      <c r="F27" s="31"/>
      <c r="G27" s="28"/>
      <c r="J27" s="135" t="s">
        <v>42</v>
      </c>
      <c r="K27" s="19"/>
      <c r="L27" s="19"/>
      <c r="N27" s="64"/>
      <c r="O27" s="31"/>
      <c r="P27" s="31"/>
      <c r="Q27" s="28"/>
      <c r="R27" s="28"/>
      <c r="S27" s="43"/>
    </row>
    <row r="28" spans="1:25" s="1" customFormat="1">
      <c r="B28" s="31"/>
      <c r="C28" s="31"/>
      <c r="D28" s="28"/>
      <c r="E28" s="31"/>
      <c r="F28" s="31"/>
      <c r="G28" s="28"/>
      <c r="J28" s="1" t="s">
        <v>21</v>
      </c>
      <c r="K28" s="19"/>
      <c r="N28" s="64"/>
      <c r="O28" s="31"/>
      <c r="P28" s="31"/>
      <c r="Q28" s="28"/>
      <c r="R28" s="28"/>
      <c r="S28" s="43"/>
    </row>
    <row r="29" spans="1:25" s="1" customFormat="1">
      <c r="B29" s="31"/>
      <c r="C29" s="31"/>
      <c r="D29" s="28"/>
      <c r="E29" s="31"/>
      <c r="F29" s="31"/>
      <c r="G29" s="28"/>
      <c r="I29" s="1">
        <f>I23+1</f>
        <v>14405</v>
      </c>
      <c r="J29" s="1" t="s">
        <v>20</v>
      </c>
      <c r="K29" s="19"/>
      <c r="N29" s="64"/>
      <c r="O29" s="31"/>
      <c r="P29" s="31"/>
      <c r="Q29" s="28"/>
      <c r="R29" s="28"/>
      <c r="S29" s="43"/>
    </row>
    <row r="30" spans="1:25" s="1" customFormat="1" ht="165">
      <c r="A30" s="48" t="str">
        <f>N30</f>
        <v>q14405_1</v>
      </c>
      <c r="B30" s="31" t="s">
        <v>915</v>
      </c>
      <c r="C30" s="31"/>
      <c r="D30" s="127" t="str">
        <f>CONCATENATE(INDEX(choices!D:D,MATCH(M30,choices!A:A,0)),"
",IF(M30=INDEX(choices!A:A,MATCH(M30,choices!A:A,0)+1),INDEX(choices!D:D,MATCH(M30,choices!A:A,0)+1),""),IF(M30=INDEX(choices!A:A,MATCH(M30,choices!A:A,0)+1), "
",""),IF(M30=INDEX(choices!A:A,MATCH(M30,choices!A:A,0)+2),INDEX(choices!D:D,MATCH(M30,choices!A:A,0)+2),""),IF(M30=INDEX(choices!A:A,MATCH(M30,choices!A:A,0)+2), "
",""),IF(M30=INDEX(choices!A:A,MATCH(M30,choices!A:A,0)+3),INDEX(choices!D:D,MATCH(M30,choices!A:A,0)+3),""),IF(M30=INDEX(choices!A:A,MATCH(M30,choices!A:A,0)+3), "
",""),IF(M30=INDEX(choices!A:A,MATCH(M30,choices!A:A,0)+4),INDEX(choices!D:D,MATCH(M30,choices!A:A,0)+4),""),IF(M30=INDEX(choices!A:A,MATCH(M30,choices!A:A,0)+4), "
",""),IF(M30=INDEX(choices!A:A,MATCH(M30,choices!A:A,0)+5),INDEX(choices!D:D,MATCH(M30,choices!A:A,0)+5),""),IF(M30=INDEX(choices!A:A,MATCH(M30,choices!A:A,0)+5), "
",""),IF(M30=INDEX(choices!A:A,MATCH(M30,choices!A:A,0)+6),INDEX(choices!D:D,MATCH(M30,choices!A:A,0)+6),""),IF(M30=INDEX(choices!A:A,MATCH(M30,choices!A:A,0)+6), "
",""),IF(M30=INDEX(choices!A:A,MATCH(M30,choices!A:A,0)+7),INDEX(choices!D:D,MATCH(M30,choices!A:A,0)+7),""),IF(M30=INDEX(choices!A:A,MATCH(M30,choices!A:A,0)+7), "
",""),IF(M30=INDEX(choices!A:A,MATCH(M30,choices!A:A,0)+8),INDEX(choices!D:D,MATCH(M30,choices!A:A,0)+8),""),IF(M30=INDEX(choices!A:A,MATCH(M30,choices!A:A,0)+8), "
",""),IF(M30=INDEX(choices!A:A,MATCH(M30,choices!A:A,0)+9),INDEX(choices!D:D,MATCH(M30,choices!A:A,0)+9),""),IF(M30=INDEX(choices!A:A,MATCH(M30,choices!A:A,0)+9), "
",""),IF(M30=INDEX(choices!A:A,MATCH(M30,choices!A:A,0)+10),INDEX(choices!D:D,MATCH(M30,choices!A:A,0)+10),""),IF(M30=INDEX(choices!A:A,MATCH(M30,choices!A:A,0)+10), "
",""),IF(M30=INDEX(choices!A:A,MATCH(M30,choices!A:A,0)+11),INDEX(choices!D:D,MATCH(M30,choices!A:A,0)+11),""),IF(M30=INDEX(choices!A:A,MATCH(M30,choices!A:A,0)+11), "
",""),IF(M30=INDEX(choices!A:A,MATCH(M30,choices!A:A,0)+12),INDEX(choices!D:D,MATCH(M30,choices!A:A,0)+12),""),IF(M30=INDEX(choices!A:A,MATCH(M30,choices!A:A,0)+12), "
",""),IF(M30=INDEX(choices!A:A,MATCH(M30,choices!A:A,0)+13),INDEX(choices!D:D,MATCH(M30,choices!A:A,0)+13),""),IF(M30=INDEX(choices!A:A,MATCH(M30,choices!A:A,0)+13), "
",""),IF(M30=INDEX(choices!A:A,MATCH(M30,choices!A:A,0)+14),INDEX(choices!D:D,MATCH(M30,choices!A:A,0)+14),""),IF(M30=INDEX(choices!A:A,MATCH(M30,choices!A:A,0)+14), "
",""),IF(M30=INDEX(choices!A:A,MATCH(M30,choices!A:A,0)+15),INDEX(choices!D:D,MATCH(M30,choices!A:A,0)+15),""),IF(M30=INDEX(choices!A:A,MATCH(M30,choices!A:A,0)+15), "
",""),IF(M30=INDEX(choices!A:A,MATCH(M30,choices!A:A,0)+16),INDEX(choices!D:D,MATCH(M30,choices!A:A,0)+16),""),IF(M30=INDEX(choices!A:A,MATCH(M30,choices!A:A,0)+16), "
",""),IF(M30=INDEX(choices!A:A,MATCH(M30,choices!A:A,0)+17),INDEX(choices!D:D,MATCH(M30,choices!A:A,0)+17),""),IF(M30=INDEX(choices!A:A,MATCH(M30,choices!A:A,0)+17), "
",""),IF(M30=INDEX(choices!A:A,MATCH(M30,choices!A:A,0)+18),INDEX(choices!D:D,MATCH(M30,choices!A:A,0)+18),""),IF(M30=INDEX(choices!A:A,MATCH(M30,choices!A:A,0)+18), "
",""),IF(M30=INDEX(choices!A:A,MATCH(M30,choices!A:A,0)+19),INDEX(choices!D:D,MATCH(M30,choices!A:A,0)+19),""),IF(M30=INDEX(choices!A:A,MATCH(M30,choices!A:A,0)+19), "
",""),IF(M30=INDEX(choices!A:A,MATCH(M30,choices!A:A,0)+20),INDEX(choices!D:D,MATCH(M30,choices!A:A,0)+20),""),IF(M30=INDEX(choices!A:A,MATCH(M30,choices!A:A,0)+20), "
",""))</f>
        <v xml:space="preserve">1. Yes
2. No
98. Don’t know
</v>
      </c>
      <c r="E30" s="450" t="s">
        <v>1389</v>
      </c>
      <c r="F30" s="31"/>
      <c r="G30" s="67" t="str">
        <f>CONCATENATE(INDEX(choices!C:C,MATCH(M30,choices!A:A,0)),"
",IF(M30=INDEX(choices!A:A,MATCH(M30,choices!A:A,0)+1),INDEX(choices!C:C,MATCH(M30,choices!A:A,0)+1),""),IF(M30=INDEX(choices!A:A,MATCH(M30,choices!A:A,0)+1), "
",""),IF(M30=INDEX(choices!A:A,MATCH(M30,choices!A:A,0)+2),INDEX(choices!C:C,MATCH(M30,choices!A:A,0)+2),""),IF(M30=INDEX(choices!A:A,MATCH(M30,choices!A:A,0)+2), "
",""),IF(M30=INDEX(choices!A:A,MATCH(M30,choices!A:A,0)+3),INDEX(choices!C:C,MATCH(M30,choices!A:A,0)+3),""),IF(M30=INDEX(choices!A:A,MATCH(M30,choices!A:A,0)+3), "
",""),IF(M30=INDEX(choices!A:A,MATCH(M30,choices!A:A,0)+4),INDEX(choices!C:C,MATCH(M30,choices!A:A,0)+4),""),IF(M30=INDEX(choices!A:A,MATCH(M30,choices!A:A,0)+4), "
",""),IF(M30=INDEX(choices!A:A,MATCH(M30,choices!A:A,0)+5),INDEX(choices!C:C,MATCH(M30,choices!A:A,0)+5),""),IF(M30=INDEX(choices!A:A,MATCH(M30,choices!A:A,0)+5), "
",""),IF(M30=INDEX(choices!A:A,MATCH(M30,choices!A:A,0)+6),INDEX(choices!C:C,MATCH(M30,choices!A:A,0)+6),""),IF(M30=INDEX(choices!A:A,MATCH(M30,choices!A:A,0)+6), "
",""),IF(M30=INDEX(choices!A:A,MATCH(M30,choices!A:A,0)+7),INDEX(choices!C:C,MATCH(M30,choices!A:A,0)+7),""),IF(M30=INDEX(choices!A:A,MATCH(M30,choices!A:A,0)+7), "
",""),IF(M30=INDEX(choices!A:A,MATCH(M30,choices!A:A,0)+8),INDEX(choices!C:C,MATCH(M30,choices!A:A,0)+8),""),IF(M30=INDEX(choices!A:A,MATCH(M30,choices!A:A,0)+8), "
",""),IF(M30=INDEX(choices!A:A,MATCH(M30,choices!A:A,0)+9),INDEX(choices!C:C,MATCH(M30,choices!A:A,0)+9),""),IF(M30=INDEX(choices!A:A,MATCH(M30,choices!A:A,0)+9), "
",""),IF(M30=INDEX(choices!A:A,MATCH(M30,choices!A:A,0)+10),INDEX(choices!C:C,MATCH(M30,choices!A:A,0)+10),""),IF(M30=INDEX(choices!A:A,MATCH(M30,choices!A:A,0)+10), "
",""),IF(M30=INDEX(choices!A:A,MATCH(M30,choices!A:A,0)+11),INDEX(choices!C:C,MATCH(M30,choices!A:A,0)+11),""),IF(M30=INDEX(choices!A:A,MATCH(M30,choices!A:A,0)+11), "
",""),IF(M30=INDEX(choices!A:A,MATCH(M30,choices!A:A,0)+12),INDEX(choices!C:C,MATCH(M30,choices!A:A,0)+12),""),IF(M30=INDEX(choices!A:A,MATCH(M30,choices!A:A,0)+12), "
",""),IF(M30=INDEX(choices!A:A,MATCH(M30,choices!A:A,0)+13),INDEX(choices!C:C,MATCH(M30,choices!A:A,0)+13),""),IF(M30=INDEX(choices!A:A,MATCH(M30,choices!A:A,0)+13), "
",""),IF(M30=INDEX(choices!A:A,MATCH(M30,choices!A:A,0)+14),INDEX(choices!C:C,MATCH(M30,choices!A:A,0)+14),""),IF(M30=INDEX(choices!A:A,MATCH(M30,choices!A:A,0)+14), "
",""),IF(M30=INDEX(choices!A:A,MATCH(M30,choices!A:A,0)+15),INDEX(choices!C:C,MATCH(M30,choices!A:A,0)+15),""),IF(M30=INDEX(choices!A:A,MATCH(M30,choices!A:A,0)+15), "
",""),IF(M30=INDEX(choices!A:A,MATCH(M30,choices!A:A,0)+16),INDEX(choices!C:C,MATCH(M30,choices!A:A,0)+16),""),IF(M30=INDEX(choices!A:A,MATCH(M30,choices!A:A,0)+16), "
",""),IF(M30=INDEX(choices!A:A,MATCH(M30,choices!A:A,0)+17),INDEX(choices!C:C,MATCH(M30,choices!A:A,0)+17),""),IF(M30=INDEX(choices!A:A,MATCH(M30,choices!A:A,0)+17), "
",""),IF(M30=INDEX(choices!A:A,MATCH(M30,choices!A:A,0)+18),INDEX(choices!C:C,MATCH(M30,choices!A:A,0)+18),""),IF(M30=INDEX(choices!A:A,MATCH(M30,choices!A:A,0)+18), "
",""),IF(M30=INDEX(choices!A:A,MATCH(M30,choices!A:A,0)+19),INDEX(choices!C:C,MATCH(M30,choices!A:A,0)+19),""),IF(M30=INDEX(choices!A:A,MATCH(M30,choices!A:A,0)+19), "
",""),IF(M30=INDEX(choices!A:A,MATCH(M30,choices!A:A,0)+20),INDEX(choices!C:C,MATCH(M30,choices!A:A,0)+20),""),IF(M30=INDEX(choices!A:A,MATCH(M30,choices!A:A,0)+20), "
","")," ")</f>
        <v xml:space="preserve">1. نعم
2.لا
98. لا أعرف
 </v>
      </c>
      <c r="H30" s="64" t="str">
        <f>CONCATENATE("If 2--&gt;",N36)</f>
        <v>If 2--&gt;q14406_1</v>
      </c>
      <c r="I30" s="1" t="str">
        <f>CONCATENATE(I29, "_1")</f>
        <v>14405_1</v>
      </c>
      <c r="K30" s="19"/>
      <c r="L30" s="1" t="s">
        <v>18</v>
      </c>
      <c r="M30" s="1" t="s">
        <v>140</v>
      </c>
      <c r="N30" s="64" t="str">
        <f>CONCATENATE("q",I30)</f>
        <v>q14405_1</v>
      </c>
      <c r="O30" s="306" t="str">
        <f>CONCATENATE(I30,". ",E30)</f>
        <v>14405_1. في الأسابيع الأربعة الماضية، هل اضطريت أنت أو أحد أفراد الأسرة لتناول وجبة بكمية أقل مما أنت بحاجة إليه لأنه لم يكن هناك ما يكفي من الطعام؟</v>
      </c>
      <c r="P30" s="257" t="str">
        <f>CONCATENATE(I30,". ",B30)</f>
        <v xml:space="preserve">14405_1. In the past four weeks, did you or any household member have to eat a smaller meal than you felt you needed because there was not enough food? </v>
      </c>
      <c r="Q30" s="28"/>
      <c r="R30" s="28"/>
      <c r="S30" s="427" t="str">
        <f>CONCATENATE("data('valid_overall') ==1 ")</f>
        <v xml:space="preserve">data('valid_overall') ==1 </v>
      </c>
      <c r="T30" s="262"/>
      <c r="U30" s="262"/>
      <c r="V30" s="262"/>
      <c r="W30" s="262"/>
      <c r="X30" s="262"/>
      <c r="Y30" s="1" t="b">
        <v>1</v>
      </c>
    </row>
    <row r="31" spans="1:25" s="1" customFormat="1">
      <c r="B31" s="31"/>
      <c r="C31" s="31"/>
      <c r="D31" s="28"/>
      <c r="E31" s="31"/>
      <c r="F31" s="31"/>
      <c r="G31" s="28"/>
      <c r="J31" s="135" t="s">
        <v>23</v>
      </c>
      <c r="K31" s="19" t="str">
        <f>CONCATENATE("selected (data('",N30,"'), '1')")</f>
        <v>selected (data('q14405_1'), '1')</v>
      </c>
      <c r="N31" s="64"/>
      <c r="O31" s="31"/>
      <c r="P31" s="31"/>
      <c r="Q31" s="28"/>
      <c r="R31" s="28"/>
      <c r="S31" s="43"/>
    </row>
    <row r="32" spans="1:25" s="1" customFormat="1" ht="180">
      <c r="A32" s="48" t="str">
        <f>N32</f>
        <v>q14405_2</v>
      </c>
      <c r="B32" s="31" t="s">
        <v>910</v>
      </c>
      <c r="C32" s="31"/>
      <c r="D32" s="127" t="str">
        <f>CONCATENATE(INDEX(choices!D:D,MATCH(M32,choices!A:A,0)),"
",IF(M32=INDEX(choices!A:A,MATCH(M32,choices!A:A,0)+1),INDEX(choices!D:D,MATCH(M32,choices!A:A,0)+1),""),IF(M32=INDEX(choices!A:A,MATCH(M32,choices!A:A,0)+1), "
",""),IF(M32=INDEX(choices!A:A,MATCH(M32,choices!A:A,0)+2),INDEX(choices!D:D,MATCH(M32,choices!A:A,0)+2),""),IF(M32=INDEX(choices!A:A,MATCH(M32,choices!A:A,0)+2), "
",""),IF(M32=INDEX(choices!A:A,MATCH(M32,choices!A:A,0)+3),INDEX(choices!D:D,MATCH(M32,choices!A:A,0)+3),""),IF(M32=INDEX(choices!A:A,MATCH(M32,choices!A:A,0)+3), "
",""),IF(M32=INDEX(choices!A:A,MATCH(M32,choices!A:A,0)+4),INDEX(choices!D:D,MATCH(M32,choices!A:A,0)+4),""),IF(M32=INDEX(choices!A:A,MATCH(M32,choices!A:A,0)+4), "
",""),IF(M32=INDEX(choices!A:A,MATCH(M32,choices!A:A,0)+5),INDEX(choices!D:D,MATCH(M32,choices!A:A,0)+5),""),IF(M32=INDEX(choices!A:A,MATCH(M32,choices!A:A,0)+5), "
",""),IF(M32=INDEX(choices!A:A,MATCH(M32,choices!A:A,0)+6),INDEX(choices!D:D,MATCH(M32,choices!A:A,0)+6),""),IF(M32=INDEX(choices!A:A,MATCH(M32,choices!A:A,0)+6), "
",""),IF(M32=INDEX(choices!A:A,MATCH(M32,choices!A:A,0)+7),INDEX(choices!D:D,MATCH(M32,choices!A:A,0)+7),""),IF(M32=INDEX(choices!A:A,MATCH(M32,choices!A:A,0)+7), "
",""),IF(M32=INDEX(choices!A:A,MATCH(M32,choices!A:A,0)+8),INDEX(choices!D:D,MATCH(M32,choices!A:A,0)+8),""),IF(M32=INDEX(choices!A:A,MATCH(M32,choices!A:A,0)+8), "
",""),IF(M32=INDEX(choices!A:A,MATCH(M32,choices!A:A,0)+9),INDEX(choices!D:D,MATCH(M32,choices!A:A,0)+9),""),IF(M32=INDEX(choices!A:A,MATCH(M32,choices!A:A,0)+9), "
",""),IF(M32=INDEX(choices!A:A,MATCH(M32,choices!A:A,0)+10),INDEX(choices!D:D,MATCH(M32,choices!A:A,0)+10),""),IF(M32=INDEX(choices!A:A,MATCH(M32,choices!A:A,0)+10), "
",""),IF(M32=INDEX(choices!A:A,MATCH(M32,choices!A:A,0)+11),INDEX(choices!D:D,MATCH(M32,choices!A:A,0)+11),""),IF(M32=INDEX(choices!A:A,MATCH(M32,choices!A:A,0)+11), "
",""),IF(M32=INDEX(choices!A:A,MATCH(M32,choices!A:A,0)+12),INDEX(choices!D:D,MATCH(M32,choices!A:A,0)+12),""),IF(M32=INDEX(choices!A:A,MATCH(M32,choices!A:A,0)+12), "
",""),IF(M32=INDEX(choices!A:A,MATCH(M32,choices!A:A,0)+13),INDEX(choices!D:D,MATCH(M32,choices!A:A,0)+13),""),IF(M32=INDEX(choices!A:A,MATCH(M32,choices!A:A,0)+13), "
",""),IF(M32=INDEX(choices!A:A,MATCH(M32,choices!A:A,0)+14),INDEX(choices!D:D,MATCH(M32,choices!A:A,0)+14),""),IF(M32=INDEX(choices!A:A,MATCH(M32,choices!A:A,0)+14), "
",""),IF(M32=INDEX(choices!A:A,MATCH(M32,choices!A:A,0)+15),INDEX(choices!D:D,MATCH(M32,choices!A:A,0)+15),""),IF(M32=INDEX(choices!A:A,MATCH(M32,choices!A:A,0)+15), "
",""),IF(M32=INDEX(choices!A:A,MATCH(M32,choices!A:A,0)+16),INDEX(choices!D:D,MATCH(M32,choices!A:A,0)+16),""),IF(M32=INDEX(choices!A:A,MATCH(M32,choices!A:A,0)+16), "
",""),IF(M32=INDEX(choices!A:A,MATCH(M32,choices!A:A,0)+17),INDEX(choices!D:D,MATCH(M32,choices!A:A,0)+17),""),IF(M32=INDEX(choices!A:A,MATCH(M32,choices!A:A,0)+17), "
",""),IF(M32=INDEX(choices!A:A,MATCH(M32,choices!A:A,0)+18),INDEX(choices!D:D,MATCH(M32,choices!A:A,0)+18),""),IF(M32=INDEX(choices!A:A,MATCH(M32,choices!A:A,0)+18), "
",""),IF(M32=INDEX(choices!A:A,MATCH(M32,choices!A:A,0)+19),INDEX(choices!D:D,MATCH(M32,choices!A:A,0)+19),""),IF(M32=INDEX(choices!A:A,MATCH(M32,choices!A:A,0)+19), "
",""),IF(M32=INDEX(choices!A:A,MATCH(M32,choices!A:A,0)+20),INDEX(choices!D:D,MATCH(M32,choices!A:A,0)+20),""),IF(M32=INDEX(choices!A:A,MATCH(M32,choices!A:A,0)+20), "
",""))</f>
        <v xml:space="preserve">1. Rarely (once or twice in the past four weeks) 
2. Sometimes (three to ten times in the past four weeks) 
3. Often (more than ten times in the past four weeks) 
</v>
      </c>
      <c r="E32" s="31" t="s">
        <v>909</v>
      </c>
      <c r="F32" s="31"/>
      <c r="G32" s="67" t="str">
        <f>CONCATENATE(INDEX(choices!C:C,MATCH(M32,choices!A:A,0)),"
",IF(M32=INDEX(choices!A:A,MATCH(M32,choices!A:A,0)+1),INDEX(choices!C:C,MATCH(M32,choices!A:A,0)+1),""),IF(M32=INDEX(choices!A:A,MATCH(M32,choices!A:A,0)+1), "
",""),IF(M32=INDEX(choices!A:A,MATCH(M32,choices!A:A,0)+2),INDEX(choices!C:C,MATCH(M32,choices!A:A,0)+2),""),IF(M32=INDEX(choices!A:A,MATCH(M32,choices!A:A,0)+2), "
",""),IF(M32=INDEX(choices!A:A,MATCH(M32,choices!A:A,0)+3),INDEX(choices!C:C,MATCH(M32,choices!A:A,0)+3),""),IF(M32=INDEX(choices!A:A,MATCH(M32,choices!A:A,0)+3), "
",""),IF(M32=INDEX(choices!A:A,MATCH(M32,choices!A:A,0)+4),INDEX(choices!C:C,MATCH(M32,choices!A:A,0)+4),""),IF(M32=INDEX(choices!A:A,MATCH(M32,choices!A:A,0)+4), "
",""),IF(M32=INDEX(choices!A:A,MATCH(M32,choices!A:A,0)+5),INDEX(choices!C:C,MATCH(M32,choices!A:A,0)+5),""),IF(M32=INDEX(choices!A:A,MATCH(M32,choices!A:A,0)+5), "
",""),IF(M32=INDEX(choices!A:A,MATCH(M32,choices!A:A,0)+6),INDEX(choices!C:C,MATCH(M32,choices!A:A,0)+6),""),IF(M32=INDEX(choices!A:A,MATCH(M32,choices!A:A,0)+6), "
",""),IF(M32=INDEX(choices!A:A,MATCH(M32,choices!A:A,0)+7),INDEX(choices!C:C,MATCH(M32,choices!A:A,0)+7),""),IF(M32=INDEX(choices!A:A,MATCH(M32,choices!A:A,0)+7), "
",""),IF(M32=INDEX(choices!A:A,MATCH(M32,choices!A:A,0)+8),INDEX(choices!C:C,MATCH(M32,choices!A:A,0)+8),""),IF(M32=INDEX(choices!A:A,MATCH(M32,choices!A:A,0)+8), "
",""),IF(M32=INDEX(choices!A:A,MATCH(M32,choices!A:A,0)+9),INDEX(choices!C:C,MATCH(M32,choices!A:A,0)+9),""),IF(M32=INDEX(choices!A:A,MATCH(M32,choices!A:A,0)+9), "
",""),IF(M32=INDEX(choices!A:A,MATCH(M32,choices!A:A,0)+10),INDEX(choices!C:C,MATCH(M32,choices!A:A,0)+10),""),IF(M32=INDEX(choices!A:A,MATCH(M32,choices!A:A,0)+10), "
",""),IF(M32=INDEX(choices!A:A,MATCH(M32,choices!A:A,0)+11),INDEX(choices!C:C,MATCH(M32,choices!A:A,0)+11),""),IF(M32=INDEX(choices!A:A,MATCH(M32,choices!A:A,0)+11), "
",""),IF(M32=INDEX(choices!A:A,MATCH(M32,choices!A:A,0)+12),INDEX(choices!C:C,MATCH(M32,choices!A:A,0)+12),""),IF(M32=INDEX(choices!A:A,MATCH(M32,choices!A:A,0)+12), "
",""),IF(M32=INDEX(choices!A:A,MATCH(M32,choices!A:A,0)+13),INDEX(choices!C:C,MATCH(M32,choices!A:A,0)+13),""),IF(M32=INDEX(choices!A:A,MATCH(M32,choices!A:A,0)+13), "
",""),IF(M32=INDEX(choices!A:A,MATCH(M32,choices!A:A,0)+14),INDEX(choices!C:C,MATCH(M32,choices!A:A,0)+14),""),IF(M32=INDEX(choices!A:A,MATCH(M32,choices!A:A,0)+14), "
",""),IF(M32=INDEX(choices!A:A,MATCH(M32,choices!A:A,0)+15),INDEX(choices!C:C,MATCH(M32,choices!A:A,0)+15),""),IF(M32=INDEX(choices!A:A,MATCH(M32,choices!A:A,0)+15), "
",""),IF(M32=INDEX(choices!A:A,MATCH(M32,choices!A:A,0)+16),INDEX(choices!C:C,MATCH(M32,choices!A:A,0)+16),""),IF(M32=INDEX(choices!A:A,MATCH(M32,choices!A:A,0)+16), "
",""),IF(M32=INDEX(choices!A:A,MATCH(M32,choices!A:A,0)+17),INDEX(choices!C:C,MATCH(M32,choices!A:A,0)+17),""),IF(M32=INDEX(choices!A:A,MATCH(M32,choices!A:A,0)+17), "
",""),IF(M32=INDEX(choices!A:A,MATCH(M32,choices!A:A,0)+18),INDEX(choices!C:C,MATCH(M32,choices!A:A,0)+18),""),IF(M32=INDEX(choices!A:A,MATCH(M32,choices!A:A,0)+18), "
",""),IF(M32=INDEX(choices!A:A,MATCH(M32,choices!A:A,0)+19),INDEX(choices!C:C,MATCH(M32,choices!A:A,0)+19),""),IF(M32=INDEX(choices!A:A,MATCH(M32,choices!A:A,0)+19), "
",""),IF(M32=INDEX(choices!A:A,MATCH(M32,choices!A:A,0)+20),INDEX(choices!C:C,MATCH(M32,choices!A:A,0)+20),""),IF(M32=INDEX(choices!A:A,MATCH(M32,choices!A:A,0)+20), "
","")," ")</f>
        <v xml:space="preserve">1. نادرا مرة أو مرتين في الأسابيع الأربعة الماضية
2. أحيانا ثلاث إلى عشر مرات في الأسابيع الأربعة الماضية
3. . في كثير من الأحيان أكثر من عشر مرات في الأسابيع الأربعة الماضية
 </v>
      </c>
      <c r="I32" s="1" t="str">
        <f>CONCATENATE(I29, "_2")</f>
        <v>14405_2</v>
      </c>
      <c r="J32" s="135"/>
      <c r="K32" s="19"/>
      <c r="L32" s="1" t="s">
        <v>18</v>
      </c>
      <c r="M32" s="1" t="s">
        <v>908</v>
      </c>
      <c r="N32" s="64" t="str">
        <f>CONCATENATE("q",I32)</f>
        <v>q14405_2</v>
      </c>
      <c r="O32" s="306" t="str">
        <f>CONCATENATE(I32,". ",E32)</f>
        <v>14405_2. كم مرة؟</v>
      </c>
      <c r="P32" s="257" t="str">
        <f>CONCATENATE(I32,". ",B32)</f>
        <v xml:space="preserve">14405_2. How often? </v>
      </c>
      <c r="Q32" s="28"/>
      <c r="R32" s="28"/>
      <c r="S32" s="43" t="str">
        <f>CONCATENATE(K31, " &amp;&amp; ", '1_0_statistical_identification'!$S$164)</f>
        <v>selected (data('q14405_1'), '1') &amp;&amp; (data('valid_overall') == 1)</v>
      </c>
      <c r="T32" s="47"/>
      <c r="U32" s="47"/>
      <c r="V32" s="47"/>
      <c r="W32" s="47"/>
      <c r="X32" s="47"/>
      <c r="Y32" s="1" t="b">
        <v>1</v>
      </c>
    </row>
    <row r="33" spans="1:25" s="1" customFormat="1">
      <c r="B33" s="31"/>
      <c r="C33" s="31"/>
      <c r="D33" s="28"/>
      <c r="E33" s="31"/>
      <c r="F33" s="31"/>
      <c r="G33" s="28"/>
      <c r="J33" s="135" t="s">
        <v>42</v>
      </c>
      <c r="K33" s="19"/>
      <c r="L33" s="19"/>
      <c r="N33" s="64"/>
      <c r="O33" s="31"/>
      <c r="P33" s="31"/>
      <c r="Q33" s="28"/>
      <c r="R33" s="28"/>
      <c r="S33" s="43"/>
    </row>
    <row r="34" spans="1:25" s="1" customFormat="1">
      <c r="B34" s="31"/>
      <c r="C34" s="31"/>
      <c r="D34" s="28"/>
      <c r="E34" s="31"/>
      <c r="F34" s="31"/>
      <c r="G34" s="28"/>
      <c r="J34" s="1" t="s">
        <v>21</v>
      </c>
      <c r="K34" s="19"/>
      <c r="N34" s="64"/>
      <c r="O34" s="31"/>
      <c r="P34" s="31"/>
      <c r="Q34" s="28"/>
      <c r="R34" s="28"/>
      <c r="S34" s="43"/>
    </row>
    <row r="35" spans="1:25" s="1" customFormat="1">
      <c r="B35" s="31"/>
      <c r="C35" s="31"/>
      <c r="D35" s="28"/>
      <c r="E35" s="31"/>
      <c r="F35" s="31"/>
      <c r="G35" s="28"/>
      <c r="I35" s="1">
        <f>I29+1</f>
        <v>14406</v>
      </c>
      <c r="J35" s="1" t="s">
        <v>20</v>
      </c>
      <c r="K35" s="19"/>
      <c r="N35" s="64"/>
      <c r="O35" s="31"/>
      <c r="P35" s="31"/>
      <c r="Q35" s="28"/>
      <c r="R35" s="28"/>
      <c r="S35" s="43"/>
    </row>
    <row r="36" spans="1:25" s="1" customFormat="1" ht="135">
      <c r="A36" s="48" t="str">
        <f>N36</f>
        <v>q14406_1</v>
      </c>
      <c r="B36" s="31" t="s">
        <v>916</v>
      </c>
      <c r="C36" s="31"/>
      <c r="D36" s="127" t="str">
        <f>CONCATENATE(INDEX(choices!D:D,MATCH(M36,choices!A:A,0)),"
",IF(M36=INDEX(choices!A:A,MATCH(M36,choices!A:A,0)+1),INDEX(choices!D:D,MATCH(M36,choices!A:A,0)+1),""),IF(M36=INDEX(choices!A:A,MATCH(M36,choices!A:A,0)+1), "
",""),IF(M36=INDEX(choices!A:A,MATCH(M36,choices!A:A,0)+2),INDEX(choices!D:D,MATCH(M36,choices!A:A,0)+2),""),IF(M36=INDEX(choices!A:A,MATCH(M36,choices!A:A,0)+2), "
",""),IF(M36=INDEX(choices!A:A,MATCH(M36,choices!A:A,0)+3),INDEX(choices!D:D,MATCH(M36,choices!A:A,0)+3),""),IF(M36=INDEX(choices!A:A,MATCH(M36,choices!A:A,0)+3), "
",""),IF(M36=INDEX(choices!A:A,MATCH(M36,choices!A:A,0)+4),INDEX(choices!D:D,MATCH(M36,choices!A:A,0)+4),""),IF(M36=INDEX(choices!A:A,MATCH(M36,choices!A:A,0)+4), "
",""),IF(M36=INDEX(choices!A:A,MATCH(M36,choices!A:A,0)+5),INDEX(choices!D:D,MATCH(M36,choices!A:A,0)+5),""),IF(M36=INDEX(choices!A:A,MATCH(M36,choices!A:A,0)+5), "
",""),IF(M36=INDEX(choices!A:A,MATCH(M36,choices!A:A,0)+6),INDEX(choices!D:D,MATCH(M36,choices!A:A,0)+6),""),IF(M36=INDEX(choices!A:A,MATCH(M36,choices!A:A,0)+6), "
",""),IF(M36=INDEX(choices!A:A,MATCH(M36,choices!A:A,0)+7),INDEX(choices!D:D,MATCH(M36,choices!A:A,0)+7),""),IF(M36=INDEX(choices!A:A,MATCH(M36,choices!A:A,0)+7), "
",""),IF(M36=INDEX(choices!A:A,MATCH(M36,choices!A:A,0)+8),INDEX(choices!D:D,MATCH(M36,choices!A:A,0)+8),""),IF(M36=INDEX(choices!A:A,MATCH(M36,choices!A:A,0)+8), "
",""),IF(M36=INDEX(choices!A:A,MATCH(M36,choices!A:A,0)+9),INDEX(choices!D:D,MATCH(M36,choices!A:A,0)+9),""),IF(M36=INDEX(choices!A:A,MATCH(M36,choices!A:A,0)+9), "
",""),IF(M36=INDEX(choices!A:A,MATCH(M36,choices!A:A,0)+10),INDEX(choices!D:D,MATCH(M36,choices!A:A,0)+10),""),IF(M36=INDEX(choices!A:A,MATCH(M36,choices!A:A,0)+10), "
",""),IF(M36=INDEX(choices!A:A,MATCH(M36,choices!A:A,0)+11),INDEX(choices!D:D,MATCH(M36,choices!A:A,0)+11),""),IF(M36=INDEX(choices!A:A,MATCH(M36,choices!A:A,0)+11), "
",""),IF(M36=INDEX(choices!A:A,MATCH(M36,choices!A:A,0)+12),INDEX(choices!D:D,MATCH(M36,choices!A:A,0)+12),""),IF(M36=INDEX(choices!A:A,MATCH(M36,choices!A:A,0)+12), "
",""),IF(M36=INDEX(choices!A:A,MATCH(M36,choices!A:A,0)+13),INDEX(choices!D:D,MATCH(M36,choices!A:A,0)+13),""),IF(M36=INDEX(choices!A:A,MATCH(M36,choices!A:A,0)+13), "
",""),IF(M36=INDEX(choices!A:A,MATCH(M36,choices!A:A,0)+14),INDEX(choices!D:D,MATCH(M36,choices!A:A,0)+14),""),IF(M36=INDEX(choices!A:A,MATCH(M36,choices!A:A,0)+14), "
",""),IF(M36=INDEX(choices!A:A,MATCH(M36,choices!A:A,0)+15),INDEX(choices!D:D,MATCH(M36,choices!A:A,0)+15),""),IF(M36=INDEX(choices!A:A,MATCH(M36,choices!A:A,0)+15), "
",""),IF(M36=INDEX(choices!A:A,MATCH(M36,choices!A:A,0)+16),INDEX(choices!D:D,MATCH(M36,choices!A:A,0)+16),""),IF(M36=INDEX(choices!A:A,MATCH(M36,choices!A:A,0)+16), "
",""),IF(M36=INDEX(choices!A:A,MATCH(M36,choices!A:A,0)+17),INDEX(choices!D:D,MATCH(M36,choices!A:A,0)+17),""),IF(M36=INDEX(choices!A:A,MATCH(M36,choices!A:A,0)+17), "
",""),IF(M36=INDEX(choices!A:A,MATCH(M36,choices!A:A,0)+18),INDEX(choices!D:D,MATCH(M36,choices!A:A,0)+18),""),IF(M36=INDEX(choices!A:A,MATCH(M36,choices!A:A,0)+18), "
",""),IF(M36=INDEX(choices!A:A,MATCH(M36,choices!A:A,0)+19),INDEX(choices!D:D,MATCH(M36,choices!A:A,0)+19),""),IF(M36=INDEX(choices!A:A,MATCH(M36,choices!A:A,0)+19), "
",""),IF(M36=INDEX(choices!A:A,MATCH(M36,choices!A:A,0)+20),INDEX(choices!D:D,MATCH(M36,choices!A:A,0)+20),""),IF(M36=INDEX(choices!A:A,MATCH(M36,choices!A:A,0)+20), "
",""))</f>
        <v xml:space="preserve">1. Yes
2. No
98. Don’t know
</v>
      </c>
      <c r="E36" s="449" t="s">
        <v>1390</v>
      </c>
      <c r="F36" s="31"/>
      <c r="G36" s="67" t="str">
        <f>CONCATENATE(INDEX(choices!C:C,MATCH(M36,choices!A:A,0)),"
",IF(M36=INDEX(choices!A:A,MATCH(M36,choices!A:A,0)+1),INDEX(choices!C:C,MATCH(M36,choices!A:A,0)+1),""),IF(M36=INDEX(choices!A:A,MATCH(M36,choices!A:A,0)+1), "
",""),IF(M36=INDEX(choices!A:A,MATCH(M36,choices!A:A,0)+2),INDEX(choices!C:C,MATCH(M36,choices!A:A,0)+2),""),IF(M36=INDEX(choices!A:A,MATCH(M36,choices!A:A,0)+2), "
",""),IF(M36=INDEX(choices!A:A,MATCH(M36,choices!A:A,0)+3),INDEX(choices!C:C,MATCH(M36,choices!A:A,0)+3),""),IF(M36=INDEX(choices!A:A,MATCH(M36,choices!A:A,0)+3), "
",""),IF(M36=INDEX(choices!A:A,MATCH(M36,choices!A:A,0)+4),INDEX(choices!C:C,MATCH(M36,choices!A:A,0)+4),""),IF(M36=INDEX(choices!A:A,MATCH(M36,choices!A:A,0)+4), "
",""),IF(M36=INDEX(choices!A:A,MATCH(M36,choices!A:A,0)+5),INDEX(choices!C:C,MATCH(M36,choices!A:A,0)+5),""),IF(M36=INDEX(choices!A:A,MATCH(M36,choices!A:A,0)+5), "
",""),IF(M36=INDEX(choices!A:A,MATCH(M36,choices!A:A,0)+6),INDEX(choices!C:C,MATCH(M36,choices!A:A,0)+6),""),IF(M36=INDEX(choices!A:A,MATCH(M36,choices!A:A,0)+6), "
",""),IF(M36=INDEX(choices!A:A,MATCH(M36,choices!A:A,0)+7),INDEX(choices!C:C,MATCH(M36,choices!A:A,0)+7),""),IF(M36=INDEX(choices!A:A,MATCH(M36,choices!A:A,0)+7), "
",""),IF(M36=INDEX(choices!A:A,MATCH(M36,choices!A:A,0)+8),INDEX(choices!C:C,MATCH(M36,choices!A:A,0)+8),""),IF(M36=INDEX(choices!A:A,MATCH(M36,choices!A:A,0)+8), "
",""),IF(M36=INDEX(choices!A:A,MATCH(M36,choices!A:A,0)+9),INDEX(choices!C:C,MATCH(M36,choices!A:A,0)+9),""),IF(M36=INDEX(choices!A:A,MATCH(M36,choices!A:A,0)+9), "
",""),IF(M36=INDEX(choices!A:A,MATCH(M36,choices!A:A,0)+10),INDEX(choices!C:C,MATCH(M36,choices!A:A,0)+10),""),IF(M36=INDEX(choices!A:A,MATCH(M36,choices!A:A,0)+10), "
",""),IF(M36=INDEX(choices!A:A,MATCH(M36,choices!A:A,0)+11),INDEX(choices!C:C,MATCH(M36,choices!A:A,0)+11),""),IF(M36=INDEX(choices!A:A,MATCH(M36,choices!A:A,0)+11), "
",""),IF(M36=INDEX(choices!A:A,MATCH(M36,choices!A:A,0)+12),INDEX(choices!C:C,MATCH(M36,choices!A:A,0)+12),""),IF(M36=INDEX(choices!A:A,MATCH(M36,choices!A:A,0)+12), "
",""),IF(M36=INDEX(choices!A:A,MATCH(M36,choices!A:A,0)+13),INDEX(choices!C:C,MATCH(M36,choices!A:A,0)+13),""),IF(M36=INDEX(choices!A:A,MATCH(M36,choices!A:A,0)+13), "
",""),IF(M36=INDEX(choices!A:A,MATCH(M36,choices!A:A,0)+14),INDEX(choices!C:C,MATCH(M36,choices!A:A,0)+14),""),IF(M36=INDEX(choices!A:A,MATCH(M36,choices!A:A,0)+14), "
",""),IF(M36=INDEX(choices!A:A,MATCH(M36,choices!A:A,0)+15),INDEX(choices!C:C,MATCH(M36,choices!A:A,0)+15),""),IF(M36=INDEX(choices!A:A,MATCH(M36,choices!A:A,0)+15), "
",""),IF(M36=INDEX(choices!A:A,MATCH(M36,choices!A:A,0)+16),INDEX(choices!C:C,MATCH(M36,choices!A:A,0)+16),""),IF(M36=INDEX(choices!A:A,MATCH(M36,choices!A:A,0)+16), "
",""),IF(M36=INDEX(choices!A:A,MATCH(M36,choices!A:A,0)+17),INDEX(choices!C:C,MATCH(M36,choices!A:A,0)+17),""),IF(M36=INDEX(choices!A:A,MATCH(M36,choices!A:A,0)+17), "
",""),IF(M36=INDEX(choices!A:A,MATCH(M36,choices!A:A,0)+18),INDEX(choices!C:C,MATCH(M36,choices!A:A,0)+18),""),IF(M36=INDEX(choices!A:A,MATCH(M36,choices!A:A,0)+18), "
",""),IF(M36=INDEX(choices!A:A,MATCH(M36,choices!A:A,0)+19),INDEX(choices!C:C,MATCH(M36,choices!A:A,0)+19),""),IF(M36=INDEX(choices!A:A,MATCH(M36,choices!A:A,0)+19), "
",""),IF(M36=INDEX(choices!A:A,MATCH(M36,choices!A:A,0)+20),INDEX(choices!C:C,MATCH(M36,choices!A:A,0)+20),""),IF(M36=INDEX(choices!A:A,MATCH(M36,choices!A:A,0)+20), "
","")," ")</f>
        <v xml:space="preserve">1. نعم
2.لا
98. لا أعرف
 </v>
      </c>
      <c r="H36" s="64" t="str">
        <f>CONCATENATE("If 2--&gt;",N42)</f>
        <v>If 2--&gt;q14407_1</v>
      </c>
      <c r="I36" s="1" t="str">
        <f>CONCATENATE(I35, "_1")</f>
        <v>14406_1</v>
      </c>
      <c r="K36" s="19"/>
      <c r="L36" s="1" t="s">
        <v>18</v>
      </c>
      <c r="M36" s="1" t="s">
        <v>140</v>
      </c>
      <c r="N36" s="64" t="str">
        <f>CONCATENATE("q",I36)</f>
        <v>q14406_1</v>
      </c>
      <c r="O36" s="306" t="str">
        <f>CONCATENATE(I36,". ",E36)</f>
        <v>14406_1. في الأسابيع الأربعة الماضية، هل اضطريت أنت أو أحد أفراد الأسرة إلى تناول عدد أقل من الوجبات في اليوم لأنه لم يكن هناك ما يكفي من الطعام؟</v>
      </c>
      <c r="P36" s="257" t="str">
        <f>CONCATENATE(I36,". ",B36)</f>
        <v xml:space="preserve">14406_1. In the past four weeks, did you or any household member have to eat fewer meals in a day because there was not enough food? </v>
      </c>
      <c r="Q36" s="28"/>
      <c r="R36" s="28"/>
      <c r="S36" s="427" t="str">
        <f>CONCATENATE("data('valid_overall') ==1 ")</f>
        <v xml:space="preserve">data('valid_overall') ==1 </v>
      </c>
      <c r="T36" s="262"/>
      <c r="U36" s="262"/>
      <c r="V36" s="262"/>
      <c r="W36" s="262"/>
      <c r="X36" s="262"/>
      <c r="Y36" s="1" t="b">
        <v>1</v>
      </c>
    </row>
    <row r="37" spans="1:25" s="1" customFormat="1">
      <c r="B37" s="31"/>
      <c r="C37" s="31"/>
      <c r="D37" s="28"/>
      <c r="E37" s="31"/>
      <c r="F37" s="31"/>
      <c r="G37" s="28"/>
      <c r="J37" s="135" t="s">
        <v>23</v>
      </c>
      <c r="K37" s="19" t="str">
        <f>CONCATENATE("selected (data('",N36,"'), '1')")</f>
        <v>selected (data('q14406_1'), '1')</v>
      </c>
      <c r="N37" s="64"/>
      <c r="O37" s="31"/>
      <c r="P37" s="31"/>
      <c r="Q37" s="28"/>
      <c r="R37" s="28"/>
      <c r="S37" s="43"/>
    </row>
    <row r="38" spans="1:25" s="1" customFormat="1" ht="180">
      <c r="A38" s="48" t="str">
        <f>N38</f>
        <v>q14406_2</v>
      </c>
      <c r="B38" s="31" t="s">
        <v>910</v>
      </c>
      <c r="C38" s="31"/>
      <c r="D38" s="127" t="str">
        <f>CONCATENATE(INDEX(choices!D:D,MATCH(M38,choices!A:A,0)),"
",IF(M38=INDEX(choices!A:A,MATCH(M38,choices!A:A,0)+1),INDEX(choices!D:D,MATCH(M38,choices!A:A,0)+1),""),IF(M38=INDEX(choices!A:A,MATCH(M38,choices!A:A,0)+1), "
",""),IF(M38=INDEX(choices!A:A,MATCH(M38,choices!A:A,0)+2),INDEX(choices!D:D,MATCH(M38,choices!A:A,0)+2),""),IF(M38=INDEX(choices!A:A,MATCH(M38,choices!A:A,0)+2), "
",""),IF(M38=INDEX(choices!A:A,MATCH(M38,choices!A:A,0)+3),INDEX(choices!D:D,MATCH(M38,choices!A:A,0)+3),""),IF(M38=INDEX(choices!A:A,MATCH(M38,choices!A:A,0)+3), "
",""),IF(M38=INDEX(choices!A:A,MATCH(M38,choices!A:A,0)+4),INDEX(choices!D:D,MATCH(M38,choices!A:A,0)+4),""),IF(M38=INDEX(choices!A:A,MATCH(M38,choices!A:A,0)+4), "
",""),IF(M38=INDEX(choices!A:A,MATCH(M38,choices!A:A,0)+5),INDEX(choices!D:D,MATCH(M38,choices!A:A,0)+5),""),IF(M38=INDEX(choices!A:A,MATCH(M38,choices!A:A,0)+5), "
",""),IF(M38=INDEX(choices!A:A,MATCH(M38,choices!A:A,0)+6),INDEX(choices!D:D,MATCH(M38,choices!A:A,0)+6),""),IF(M38=INDEX(choices!A:A,MATCH(M38,choices!A:A,0)+6), "
",""),IF(M38=INDEX(choices!A:A,MATCH(M38,choices!A:A,0)+7),INDEX(choices!D:D,MATCH(M38,choices!A:A,0)+7),""),IF(M38=INDEX(choices!A:A,MATCH(M38,choices!A:A,0)+7), "
",""),IF(M38=INDEX(choices!A:A,MATCH(M38,choices!A:A,0)+8),INDEX(choices!D:D,MATCH(M38,choices!A:A,0)+8),""),IF(M38=INDEX(choices!A:A,MATCH(M38,choices!A:A,0)+8), "
",""),IF(M38=INDEX(choices!A:A,MATCH(M38,choices!A:A,0)+9),INDEX(choices!D:D,MATCH(M38,choices!A:A,0)+9),""),IF(M38=INDEX(choices!A:A,MATCH(M38,choices!A:A,0)+9), "
",""),IF(M38=INDEX(choices!A:A,MATCH(M38,choices!A:A,0)+10),INDEX(choices!D:D,MATCH(M38,choices!A:A,0)+10),""),IF(M38=INDEX(choices!A:A,MATCH(M38,choices!A:A,0)+10), "
",""),IF(M38=INDEX(choices!A:A,MATCH(M38,choices!A:A,0)+11),INDEX(choices!D:D,MATCH(M38,choices!A:A,0)+11),""),IF(M38=INDEX(choices!A:A,MATCH(M38,choices!A:A,0)+11), "
",""),IF(M38=INDEX(choices!A:A,MATCH(M38,choices!A:A,0)+12),INDEX(choices!D:D,MATCH(M38,choices!A:A,0)+12),""),IF(M38=INDEX(choices!A:A,MATCH(M38,choices!A:A,0)+12), "
",""),IF(M38=INDEX(choices!A:A,MATCH(M38,choices!A:A,0)+13),INDEX(choices!D:D,MATCH(M38,choices!A:A,0)+13),""),IF(M38=INDEX(choices!A:A,MATCH(M38,choices!A:A,0)+13), "
",""),IF(M38=INDEX(choices!A:A,MATCH(M38,choices!A:A,0)+14),INDEX(choices!D:D,MATCH(M38,choices!A:A,0)+14),""),IF(M38=INDEX(choices!A:A,MATCH(M38,choices!A:A,0)+14), "
",""),IF(M38=INDEX(choices!A:A,MATCH(M38,choices!A:A,0)+15),INDEX(choices!D:D,MATCH(M38,choices!A:A,0)+15),""),IF(M38=INDEX(choices!A:A,MATCH(M38,choices!A:A,0)+15), "
",""),IF(M38=INDEX(choices!A:A,MATCH(M38,choices!A:A,0)+16),INDEX(choices!D:D,MATCH(M38,choices!A:A,0)+16),""),IF(M38=INDEX(choices!A:A,MATCH(M38,choices!A:A,0)+16), "
",""),IF(M38=INDEX(choices!A:A,MATCH(M38,choices!A:A,0)+17),INDEX(choices!D:D,MATCH(M38,choices!A:A,0)+17),""),IF(M38=INDEX(choices!A:A,MATCH(M38,choices!A:A,0)+17), "
",""),IF(M38=INDEX(choices!A:A,MATCH(M38,choices!A:A,0)+18),INDEX(choices!D:D,MATCH(M38,choices!A:A,0)+18),""),IF(M38=INDEX(choices!A:A,MATCH(M38,choices!A:A,0)+18), "
",""),IF(M38=INDEX(choices!A:A,MATCH(M38,choices!A:A,0)+19),INDEX(choices!D:D,MATCH(M38,choices!A:A,0)+19),""),IF(M38=INDEX(choices!A:A,MATCH(M38,choices!A:A,0)+19), "
",""),IF(M38=INDEX(choices!A:A,MATCH(M38,choices!A:A,0)+20),INDEX(choices!D:D,MATCH(M38,choices!A:A,0)+20),""),IF(M38=INDEX(choices!A:A,MATCH(M38,choices!A:A,0)+20), "
",""))</f>
        <v xml:space="preserve">1. Rarely (once or twice in the past four weeks) 
2. Sometimes (three to ten times in the past four weeks) 
3. Often (more than ten times in the past four weeks) 
</v>
      </c>
      <c r="E38" s="31" t="s">
        <v>909</v>
      </c>
      <c r="F38" s="31"/>
      <c r="G38" s="67" t="str">
        <f>CONCATENATE(INDEX(choices!C:C,MATCH(M38,choices!A:A,0)),"
",IF(M38=INDEX(choices!A:A,MATCH(M38,choices!A:A,0)+1),INDEX(choices!C:C,MATCH(M38,choices!A:A,0)+1),""),IF(M38=INDEX(choices!A:A,MATCH(M38,choices!A:A,0)+1), "
",""),IF(M38=INDEX(choices!A:A,MATCH(M38,choices!A:A,0)+2),INDEX(choices!C:C,MATCH(M38,choices!A:A,0)+2),""),IF(M38=INDEX(choices!A:A,MATCH(M38,choices!A:A,0)+2), "
",""),IF(M38=INDEX(choices!A:A,MATCH(M38,choices!A:A,0)+3),INDEX(choices!C:C,MATCH(M38,choices!A:A,0)+3),""),IF(M38=INDEX(choices!A:A,MATCH(M38,choices!A:A,0)+3), "
",""),IF(M38=INDEX(choices!A:A,MATCH(M38,choices!A:A,0)+4),INDEX(choices!C:C,MATCH(M38,choices!A:A,0)+4),""),IF(M38=INDEX(choices!A:A,MATCH(M38,choices!A:A,0)+4), "
",""),IF(M38=INDEX(choices!A:A,MATCH(M38,choices!A:A,0)+5),INDEX(choices!C:C,MATCH(M38,choices!A:A,0)+5),""),IF(M38=INDEX(choices!A:A,MATCH(M38,choices!A:A,0)+5), "
",""),IF(M38=INDEX(choices!A:A,MATCH(M38,choices!A:A,0)+6),INDEX(choices!C:C,MATCH(M38,choices!A:A,0)+6),""),IF(M38=INDEX(choices!A:A,MATCH(M38,choices!A:A,0)+6), "
",""),IF(M38=INDEX(choices!A:A,MATCH(M38,choices!A:A,0)+7),INDEX(choices!C:C,MATCH(M38,choices!A:A,0)+7),""),IF(M38=INDEX(choices!A:A,MATCH(M38,choices!A:A,0)+7), "
",""),IF(M38=INDEX(choices!A:A,MATCH(M38,choices!A:A,0)+8),INDEX(choices!C:C,MATCH(M38,choices!A:A,0)+8),""),IF(M38=INDEX(choices!A:A,MATCH(M38,choices!A:A,0)+8), "
",""),IF(M38=INDEX(choices!A:A,MATCH(M38,choices!A:A,0)+9),INDEX(choices!C:C,MATCH(M38,choices!A:A,0)+9),""),IF(M38=INDEX(choices!A:A,MATCH(M38,choices!A:A,0)+9), "
",""),IF(M38=INDEX(choices!A:A,MATCH(M38,choices!A:A,0)+10),INDEX(choices!C:C,MATCH(M38,choices!A:A,0)+10),""),IF(M38=INDEX(choices!A:A,MATCH(M38,choices!A:A,0)+10), "
",""),IF(M38=INDEX(choices!A:A,MATCH(M38,choices!A:A,0)+11),INDEX(choices!C:C,MATCH(M38,choices!A:A,0)+11),""),IF(M38=INDEX(choices!A:A,MATCH(M38,choices!A:A,0)+11), "
",""),IF(M38=INDEX(choices!A:A,MATCH(M38,choices!A:A,0)+12),INDEX(choices!C:C,MATCH(M38,choices!A:A,0)+12),""),IF(M38=INDEX(choices!A:A,MATCH(M38,choices!A:A,0)+12), "
",""),IF(M38=INDEX(choices!A:A,MATCH(M38,choices!A:A,0)+13),INDEX(choices!C:C,MATCH(M38,choices!A:A,0)+13),""),IF(M38=INDEX(choices!A:A,MATCH(M38,choices!A:A,0)+13), "
",""),IF(M38=INDEX(choices!A:A,MATCH(M38,choices!A:A,0)+14),INDEX(choices!C:C,MATCH(M38,choices!A:A,0)+14),""),IF(M38=INDEX(choices!A:A,MATCH(M38,choices!A:A,0)+14), "
",""),IF(M38=INDEX(choices!A:A,MATCH(M38,choices!A:A,0)+15),INDEX(choices!C:C,MATCH(M38,choices!A:A,0)+15),""),IF(M38=INDEX(choices!A:A,MATCH(M38,choices!A:A,0)+15), "
",""),IF(M38=INDEX(choices!A:A,MATCH(M38,choices!A:A,0)+16),INDEX(choices!C:C,MATCH(M38,choices!A:A,0)+16),""),IF(M38=INDEX(choices!A:A,MATCH(M38,choices!A:A,0)+16), "
",""),IF(M38=INDEX(choices!A:A,MATCH(M38,choices!A:A,0)+17),INDEX(choices!C:C,MATCH(M38,choices!A:A,0)+17),""),IF(M38=INDEX(choices!A:A,MATCH(M38,choices!A:A,0)+17), "
",""),IF(M38=INDEX(choices!A:A,MATCH(M38,choices!A:A,0)+18),INDEX(choices!C:C,MATCH(M38,choices!A:A,0)+18),""),IF(M38=INDEX(choices!A:A,MATCH(M38,choices!A:A,0)+18), "
",""),IF(M38=INDEX(choices!A:A,MATCH(M38,choices!A:A,0)+19),INDEX(choices!C:C,MATCH(M38,choices!A:A,0)+19),""),IF(M38=INDEX(choices!A:A,MATCH(M38,choices!A:A,0)+19), "
",""),IF(M38=INDEX(choices!A:A,MATCH(M38,choices!A:A,0)+20),INDEX(choices!C:C,MATCH(M38,choices!A:A,0)+20),""),IF(M38=INDEX(choices!A:A,MATCH(M38,choices!A:A,0)+20), "
","")," ")</f>
        <v xml:space="preserve">1. نادرا مرة أو مرتين في الأسابيع الأربعة الماضية
2. أحيانا ثلاث إلى عشر مرات في الأسابيع الأربعة الماضية
3. . في كثير من الأحيان أكثر من عشر مرات في الأسابيع الأربعة الماضية
 </v>
      </c>
      <c r="I38" s="1" t="str">
        <f>CONCATENATE(I35, "_2")</f>
        <v>14406_2</v>
      </c>
      <c r="K38" s="19"/>
      <c r="L38" s="1" t="s">
        <v>18</v>
      </c>
      <c r="M38" s="1" t="s">
        <v>908</v>
      </c>
      <c r="N38" s="64" t="str">
        <f>CONCATENATE("q",I38)</f>
        <v>q14406_2</v>
      </c>
      <c r="O38" s="306" t="str">
        <f>CONCATENATE(I38,". ",E38)</f>
        <v>14406_2. كم مرة؟</v>
      </c>
      <c r="P38" s="257" t="str">
        <f>CONCATENATE(I38,". ",B38)</f>
        <v xml:space="preserve">14406_2. How often? </v>
      </c>
      <c r="Q38" s="28"/>
      <c r="R38" s="28"/>
      <c r="S38" s="43" t="str">
        <f>CONCATENATE(K37, " &amp;&amp; ", '1_0_statistical_identification'!$S$164)</f>
        <v>selected (data('q14406_1'), '1') &amp;&amp; (data('valid_overall') == 1)</v>
      </c>
      <c r="T38" s="47"/>
      <c r="U38" s="47"/>
      <c r="V38" s="47"/>
      <c r="W38" s="47"/>
      <c r="X38" s="47"/>
      <c r="Y38" s="1" t="b">
        <v>1</v>
      </c>
    </row>
    <row r="39" spans="1:25" s="1" customFormat="1">
      <c r="B39" s="31"/>
      <c r="C39" s="31"/>
      <c r="D39" s="28"/>
      <c r="E39" s="31"/>
      <c r="F39" s="31"/>
      <c r="G39" s="28"/>
      <c r="J39" s="135" t="s">
        <v>42</v>
      </c>
      <c r="K39" s="19"/>
      <c r="L39" s="19"/>
      <c r="N39" s="64"/>
      <c r="O39" s="31"/>
      <c r="P39" s="31"/>
      <c r="Q39" s="28"/>
      <c r="R39" s="28"/>
      <c r="S39" s="43"/>
    </row>
    <row r="40" spans="1:25" s="1" customFormat="1">
      <c r="B40" s="31"/>
      <c r="C40" s="31"/>
      <c r="D40" s="28"/>
      <c r="E40" s="31"/>
      <c r="F40" s="31"/>
      <c r="G40" s="28"/>
      <c r="J40" s="1" t="s">
        <v>21</v>
      </c>
      <c r="K40" s="19"/>
      <c r="N40" s="64"/>
      <c r="O40" s="31"/>
      <c r="P40" s="31"/>
      <c r="Q40" s="28"/>
      <c r="R40" s="28"/>
      <c r="S40" s="43"/>
    </row>
    <row r="41" spans="1:25" s="1" customFormat="1">
      <c r="B41" s="31"/>
      <c r="C41" s="31"/>
      <c r="D41" s="28"/>
      <c r="E41" s="31"/>
      <c r="F41" s="31"/>
      <c r="G41" s="28"/>
      <c r="I41" s="1">
        <f>I35+1</f>
        <v>14407</v>
      </c>
      <c r="J41" s="1" t="s">
        <v>20</v>
      </c>
      <c r="K41" s="19"/>
      <c r="N41" s="64"/>
      <c r="O41" s="31"/>
      <c r="P41" s="31"/>
      <c r="Q41" s="28"/>
      <c r="R41" s="28"/>
      <c r="S41" s="43"/>
    </row>
    <row r="42" spans="1:25" s="1" customFormat="1" ht="135">
      <c r="A42" s="48" t="str">
        <f>N42</f>
        <v>q14407_1</v>
      </c>
      <c r="B42" s="31" t="s">
        <v>917</v>
      </c>
      <c r="C42" s="31"/>
      <c r="D42" s="127" t="str">
        <f>CONCATENATE(INDEX(choices!D:D,MATCH(M42,choices!A:A,0)),"
",IF(M42=INDEX(choices!A:A,MATCH(M42,choices!A:A,0)+1),INDEX(choices!D:D,MATCH(M42,choices!A:A,0)+1),""),IF(M42=INDEX(choices!A:A,MATCH(M42,choices!A:A,0)+1), "
",""),IF(M42=INDEX(choices!A:A,MATCH(M42,choices!A:A,0)+2),INDEX(choices!D:D,MATCH(M42,choices!A:A,0)+2),""),IF(M42=INDEX(choices!A:A,MATCH(M42,choices!A:A,0)+2), "
",""),IF(M42=INDEX(choices!A:A,MATCH(M42,choices!A:A,0)+3),INDEX(choices!D:D,MATCH(M42,choices!A:A,0)+3),""),IF(M42=INDEX(choices!A:A,MATCH(M42,choices!A:A,0)+3), "
",""),IF(M42=INDEX(choices!A:A,MATCH(M42,choices!A:A,0)+4),INDEX(choices!D:D,MATCH(M42,choices!A:A,0)+4),""),IF(M42=INDEX(choices!A:A,MATCH(M42,choices!A:A,0)+4), "
",""),IF(M42=INDEX(choices!A:A,MATCH(M42,choices!A:A,0)+5),INDEX(choices!D:D,MATCH(M42,choices!A:A,0)+5),""),IF(M42=INDEX(choices!A:A,MATCH(M42,choices!A:A,0)+5), "
",""),IF(M42=INDEX(choices!A:A,MATCH(M42,choices!A:A,0)+6),INDEX(choices!D:D,MATCH(M42,choices!A:A,0)+6),""),IF(M42=INDEX(choices!A:A,MATCH(M42,choices!A:A,0)+6), "
",""),IF(M42=INDEX(choices!A:A,MATCH(M42,choices!A:A,0)+7),INDEX(choices!D:D,MATCH(M42,choices!A:A,0)+7),""),IF(M42=INDEX(choices!A:A,MATCH(M42,choices!A:A,0)+7), "
",""),IF(M42=INDEX(choices!A:A,MATCH(M42,choices!A:A,0)+8),INDEX(choices!D:D,MATCH(M42,choices!A:A,0)+8),""),IF(M42=INDEX(choices!A:A,MATCH(M42,choices!A:A,0)+8), "
",""),IF(M42=INDEX(choices!A:A,MATCH(M42,choices!A:A,0)+9),INDEX(choices!D:D,MATCH(M42,choices!A:A,0)+9),""),IF(M42=INDEX(choices!A:A,MATCH(M42,choices!A:A,0)+9), "
",""),IF(M42=INDEX(choices!A:A,MATCH(M42,choices!A:A,0)+10),INDEX(choices!D:D,MATCH(M42,choices!A:A,0)+10),""),IF(M42=INDEX(choices!A:A,MATCH(M42,choices!A:A,0)+10), "
",""),IF(M42=INDEX(choices!A:A,MATCH(M42,choices!A:A,0)+11),INDEX(choices!D:D,MATCH(M42,choices!A:A,0)+11),""),IF(M42=INDEX(choices!A:A,MATCH(M42,choices!A:A,0)+11), "
",""),IF(M42=INDEX(choices!A:A,MATCH(M42,choices!A:A,0)+12),INDEX(choices!D:D,MATCH(M42,choices!A:A,0)+12),""),IF(M42=INDEX(choices!A:A,MATCH(M42,choices!A:A,0)+12), "
",""),IF(M42=INDEX(choices!A:A,MATCH(M42,choices!A:A,0)+13),INDEX(choices!D:D,MATCH(M42,choices!A:A,0)+13),""),IF(M42=INDEX(choices!A:A,MATCH(M42,choices!A:A,0)+13), "
",""),IF(M42=INDEX(choices!A:A,MATCH(M42,choices!A:A,0)+14),INDEX(choices!D:D,MATCH(M42,choices!A:A,0)+14),""),IF(M42=INDEX(choices!A:A,MATCH(M42,choices!A:A,0)+14), "
",""),IF(M42=INDEX(choices!A:A,MATCH(M42,choices!A:A,0)+15),INDEX(choices!D:D,MATCH(M42,choices!A:A,0)+15),""),IF(M42=INDEX(choices!A:A,MATCH(M42,choices!A:A,0)+15), "
",""),IF(M42=INDEX(choices!A:A,MATCH(M42,choices!A:A,0)+16),INDEX(choices!D:D,MATCH(M42,choices!A:A,0)+16),""),IF(M42=INDEX(choices!A:A,MATCH(M42,choices!A:A,0)+16), "
",""),IF(M42=INDEX(choices!A:A,MATCH(M42,choices!A:A,0)+17),INDEX(choices!D:D,MATCH(M42,choices!A:A,0)+17),""),IF(M42=INDEX(choices!A:A,MATCH(M42,choices!A:A,0)+17), "
",""),IF(M42=INDEX(choices!A:A,MATCH(M42,choices!A:A,0)+18),INDEX(choices!D:D,MATCH(M42,choices!A:A,0)+18),""),IF(M42=INDEX(choices!A:A,MATCH(M42,choices!A:A,0)+18), "
",""),IF(M42=INDEX(choices!A:A,MATCH(M42,choices!A:A,0)+19),INDEX(choices!D:D,MATCH(M42,choices!A:A,0)+19),""),IF(M42=INDEX(choices!A:A,MATCH(M42,choices!A:A,0)+19), "
",""),IF(M42=INDEX(choices!A:A,MATCH(M42,choices!A:A,0)+20),INDEX(choices!D:D,MATCH(M42,choices!A:A,0)+20),""),IF(M42=INDEX(choices!A:A,MATCH(M42,choices!A:A,0)+20), "
",""))</f>
        <v xml:space="preserve">1. Yes
2. No
98. Don’t know
</v>
      </c>
      <c r="E42" s="449" t="s">
        <v>1551</v>
      </c>
      <c r="F42" s="31"/>
      <c r="G42" s="67" t="str">
        <f>CONCATENATE(INDEX(choices!C:C,MATCH(M42,choices!A:A,0)),"
",IF(M42=INDEX(choices!A:A,MATCH(M42,choices!A:A,0)+1),INDEX(choices!C:C,MATCH(M42,choices!A:A,0)+1),""),IF(M42=INDEX(choices!A:A,MATCH(M42,choices!A:A,0)+1), "
",""),IF(M42=INDEX(choices!A:A,MATCH(M42,choices!A:A,0)+2),INDEX(choices!C:C,MATCH(M42,choices!A:A,0)+2),""),IF(M42=INDEX(choices!A:A,MATCH(M42,choices!A:A,0)+2), "
",""),IF(M42=INDEX(choices!A:A,MATCH(M42,choices!A:A,0)+3),INDEX(choices!C:C,MATCH(M42,choices!A:A,0)+3),""),IF(M42=INDEX(choices!A:A,MATCH(M42,choices!A:A,0)+3), "
",""),IF(M42=INDEX(choices!A:A,MATCH(M42,choices!A:A,0)+4),INDEX(choices!C:C,MATCH(M42,choices!A:A,0)+4),""),IF(M42=INDEX(choices!A:A,MATCH(M42,choices!A:A,0)+4), "
",""),IF(M42=INDEX(choices!A:A,MATCH(M42,choices!A:A,0)+5),INDEX(choices!C:C,MATCH(M42,choices!A:A,0)+5),""),IF(M42=INDEX(choices!A:A,MATCH(M42,choices!A:A,0)+5), "
",""),IF(M42=INDEX(choices!A:A,MATCH(M42,choices!A:A,0)+6),INDEX(choices!C:C,MATCH(M42,choices!A:A,0)+6),""),IF(M42=INDEX(choices!A:A,MATCH(M42,choices!A:A,0)+6), "
",""),IF(M42=INDEX(choices!A:A,MATCH(M42,choices!A:A,0)+7),INDEX(choices!C:C,MATCH(M42,choices!A:A,0)+7),""),IF(M42=INDEX(choices!A:A,MATCH(M42,choices!A:A,0)+7), "
",""),IF(M42=INDEX(choices!A:A,MATCH(M42,choices!A:A,0)+8),INDEX(choices!C:C,MATCH(M42,choices!A:A,0)+8),""),IF(M42=INDEX(choices!A:A,MATCH(M42,choices!A:A,0)+8), "
",""),IF(M42=INDEX(choices!A:A,MATCH(M42,choices!A:A,0)+9),INDEX(choices!C:C,MATCH(M42,choices!A:A,0)+9),""),IF(M42=INDEX(choices!A:A,MATCH(M42,choices!A:A,0)+9), "
",""),IF(M42=INDEX(choices!A:A,MATCH(M42,choices!A:A,0)+10),INDEX(choices!C:C,MATCH(M42,choices!A:A,0)+10),""),IF(M42=INDEX(choices!A:A,MATCH(M42,choices!A:A,0)+10), "
",""),IF(M42=INDEX(choices!A:A,MATCH(M42,choices!A:A,0)+11),INDEX(choices!C:C,MATCH(M42,choices!A:A,0)+11),""),IF(M42=INDEX(choices!A:A,MATCH(M42,choices!A:A,0)+11), "
",""),IF(M42=INDEX(choices!A:A,MATCH(M42,choices!A:A,0)+12),INDEX(choices!C:C,MATCH(M42,choices!A:A,0)+12),""),IF(M42=INDEX(choices!A:A,MATCH(M42,choices!A:A,0)+12), "
",""),IF(M42=INDEX(choices!A:A,MATCH(M42,choices!A:A,0)+13),INDEX(choices!C:C,MATCH(M42,choices!A:A,0)+13),""),IF(M42=INDEX(choices!A:A,MATCH(M42,choices!A:A,0)+13), "
",""),IF(M42=INDEX(choices!A:A,MATCH(M42,choices!A:A,0)+14),INDEX(choices!C:C,MATCH(M42,choices!A:A,0)+14),""),IF(M42=INDEX(choices!A:A,MATCH(M42,choices!A:A,0)+14), "
",""),IF(M42=INDEX(choices!A:A,MATCH(M42,choices!A:A,0)+15),INDEX(choices!C:C,MATCH(M42,choices!A:A,0)+15),""),IF(M42=INDEX(choices!A:A,MATCH(M42,choices!A:A,0)+15), "
",""),IF(M42=INDEX(choices!A:A,MATCH(M42,choices!A:A,0)+16),INDEX(choices!C:C,MATCH(M42,choices!A:A,0)+16),""),IF(M42=INDEX(choices!A:A,MATCH(M42,choices!A:A,0)+16), "
",""),IF(M42=INDEX(choices!A:A,MATCH(M42,choices!A:A,0)+17),INDEX(choices!C:C,MATCH(M42,choices!A:A,0)+17),""),IF(M42=INDEX(choices!A:A,MATCH(M42,choices!A:A,0)+17), "
",""),IF(M42=INDEX(choices!A:A,MATCH(M42,choices!A:A,0)+18),INDEX(choices!C:C,MATCH(M42,choices!A:A,0)+18),""),IF(M42=INDEX(choices!A:A,MATCH(M42,choices!A:A,0)+18), "
",""),IF(M42=INDEX(choices!A:A,MATCH(M42,choices!A:A,0)+19),INDEX(choices!C:C,MATCH(M42,choices!A:A,0)+19),""),IF(M42=INDEX(choices!A:A,MATCH(M42,choices!A:A,0)+19), "
",""),IF(M42=INDEX(choices!A:A,MATCH(M42,choices!A:A,0)+20),INDEX(choices!C:C,MATCH(M42,choices!A:A,0)+20),""),IF(M42=INDEX(choices!A:A,MATCH(M42,choices!A:A,0)+20), "
","")," ")</f>
        <v xml:space="preserve">1. نعم
2.لا
98. لا أعرف
 </v>
      </c>
      <c r="H42" s="64" t="str">
        <f>CONCATENATE("If 2--&gt;",N51)</f>
        <v>If 2--&gt;q14408_1</v>
      </c>
      <c r="I42" s="1" t="str">
        <f>CONCATENATE(I41, "_1")</f>
        <v>14407_1</v>
      </c>
      <c r="K42" s="19"/>
      <c r="L42" s="1" t="s">
        <v>18</v>
      </c>
      <c r="M42" s="1" t="s">
        <v>140</v>
      </c>
      <c r="N42" s="64" t="str">
        <f>CONCATENATE("q",I42)</f>
        <v>q14407_1</v>
      </c>
      <c r="O42" s="306" t="str">
        <f>CONCATENATE(I42,". ",E42)</f>
        <v>14407_1. في الأسابيع الأربعة الماضية، هل لم يكن هناك أي طعام من أي نوع في منزلك بسبب نقص دخل الاسرة؟</v>
      </c>
      <c r="P42" s="257" t="str">
        <f>CONCATENATE(I42,". ",B42)</f>
        <v xml:space="preserve">14407_1. In the past four weeks, was there ever no food to eat of any kind in your household because of a lack of resources to get food? </v>
      </c>
      <c r="Q42" s="28"/>
      <c r="R42" s="28"/>
      <c r="S42" s="427" t="str">
        <f>CONCATENATE("data('valid_overall') ==1 ")</f>
        <v xml:space="preserve">data('valid_overall') ==1 </v>
      </c>
      <c r="T42" s="262"/>
      <c r="U42" s="262"/>
      <c r="V42" s="262"/>
      <c r="W42" s="262"/>
      <c r="X42" s="262"/>
      <c r="Y42" s="1" t="b">
        <v>1</v>
      </c>
    </row>
    <row r="43" spans="1:25" s="1" customFormat="1">
      <c r="B43" s="31"/>
      <c r="C43" s="31"/>
      <c r="D43" s="28"/>
      <c r="E43" s="31"/>
      <c r="F43" s="31"/>
      <c r="G43" s="28"/>
      <c r="J43" s="135" t="s">
        <v>23</v>
      </c>
      <c r="K43" s="19" t="str">
        <f>CONCATENATE("selected (data('",N42,"'), '1')")</f>
        <v>selected (data('q14407_1'), '1')</v>
      </c>
      <c r="N43" s="64"/>
      <c r="O43" s="31"/>
      <c r="P43" s="31"/>
      <c r="Q43" s="28"/>
      <c r="R43" s="28"/>
      <c r="S43" s="43"/>
    </row>
    <row r="44" spans="1:25" s="1" customFormat="1" ht="180">
      <c r="A44" s="48" t="str">
        <f>N44</f>
        <v>q14407_2</v>
      </c>
      <c r="B44" s="31" t="s">
        <v>910</v>
      </c>
      <c r="C44" s="31"/>
      <c r="D44" s="127" t="str">
        <f>CONCATENATE(INDEX(choices!D:D,MATCH(M44,choices!A:A,0)),"
",IF(M44=INDEX(choices!A:A,MATCH(M44,choices!A:A,0)+1),INDEX(choices!D:D,MATCH(M44,choices!A:A,0)+1),""),IF(M44=INDEX(choices!A:A,MATCH(M44,choices!A:A,0)+1), "
",""),IF(M44=INDEX(choices!A:A,MATCH(M44,choices!A:A,0)+2),INDEX(choices!D:D,MATCH(M44,choices!A:A,0)+2),""),IF(M44=INDEX(choices!A:A,MATCH(M44,choices!A:A,0)+2), "
",""),IF(M44=INDEX(choices!A:A,MATCH(M44,choices!A:A,0)+3),INDEX(choices!D:D,MATCH(M44,choices!A:A,0)+3),""),IF(M44=INDEX(choices!A:A,MATCH(M44,choices!A:A,0)+3), "
",""),IF(M44=INDEX(choices!A:A,MATCH(M44,choices!A:A,0)+4),INDEX(choices!D:D,MATCH(M44,choices!A:A,0)+4),""),IF(M44=INDEX(choices!A:A,MATCH(M44,choices!A:A,0)+4), "
",""),IF(M44=INDEX(choices!A:A,MATCH(M44,choices!A:A,0)+5),INDEX(choices!D:D,MATCH(M44,choices!A:A,0)+5),""),IF(M44=INDEX(choices!A:A,MATCH(M44,choices!A:A,0)+5), "
",""),IF(M44=INDEX(choices!A:A,MATCH(M44,choices!A:A,0)+6),INDEX(choices!D:D,MATCH(M44,choices!A:A,0)+6),""),IF(M44=INDEX(choices!A:A,MATCH(M44,choices!A:A,0)+6), "
",""),IF(M44=INDEX(choices!A:A,MATCH(M44,choices!A:A,0)+7),INDEX(choices!D:D,MATCH(M44,choices!A:A,0)+7),""),IF(M44=INDEX(choices!A:A,MATCH(M44,choices!A:A,0)+7), "
",""),IF(M44=INDEX(choices!A:A,MATCH(M44,choices!A:A,0)+8),INDEX(choices!D:D,MATCH(M44,choices!A:A,0)+8),""),IF(M44=INDEX(choices!A:A,MATCH(M44,choices!A:A,0)+8), "
",""),IF(M44=INDEX(choices!A:A,MATCH(M44,choices!A:A,0)+9),INDEX(choices!D:D,MATCH(M44,choices!A:A,0)+9),""),IF(M44=INDEX(choices!A:A,MATCH(M44,choices!A:A,0)+9), "
",""),IF(M44=INDEX(choices!A:A,MATCH(M44,choices!A:A,0)+10),INDEX(choices!D:D,MATCH(M44,choices!A:A,0)+10),""),IF(M44=INDEX(choices!A:A,MATCH(M44,choices!A:A,0)+10), "
",""),IF(M44=INDEX(choices!A:A,MATCH(M44,choices!A:A,0)+11),INDEX(choices!D:D,MATCH(M44,choices!A:A,0)+11),""),IF(M44=INDEX(choices!A:A,MATCH(M44,choices!A:A,0)+11), "
",""),IF(M44=INDEX(choices!A:A,MATCH(M44,choices!A:A,0)+12),INDEX(choices!D:D,MATCH(M44,choices!A:A,0)+12),""),IF(M44=INDEX(choices!A:A,MATCH(M44,choices!A:A,0)+12), "
",""),IF(M44=INDEX(choices!A:A,MATCH(M44,choices!A:A,0)+13),INDEX(choices!D:D,MATCH(M44,choices!A:A,0)+13),""),IF(M44=INDEX(choices!A:A,MATCH(M44,choices!A:A,0)+13), "
",""),IF(M44=INDEX(choices!A:A,MATCH(M44,choices!A:A,0)+14),INDEX(choices!D:D,MATCH(M44,choices!A:A,0)+14),""),IF(M44=INDEX(choices!A:A,MATCH(M44,choices!A:A,0)+14), "
",""),IF(M44=INDEX(choices!A:A,MATCH(M44,choices!A:A,0)+15),INDEX(choices!D:D,MATCH(M44,choices!A:A,0)+15),""),IF(M44=INDEX(choices!A:A,MATCH(M44,choices!A:A,0)+15), "
",""),IF(M44=INDEX(choices!A:A,MATCH(M44,choices!A:A,0)+16),INDEX(choices!D:D,MATCH(M44,choices!A:A,0)+16),""),IF(M44=INDEX(choices!A:A,MATCH(M44,choices!A:A,0)+16), "
",""),IF(M44=INDEX(choices!A:A,MATCH(M44,choices!A:A,0)+17),INDEX(choices!D:D,MATCH(M44,choices!A:A,0)+17),""),IF(M44=INDEX(choices!A:A,MATCH(M44,choices!A:A,0)+17), "
",""),IF(M44=INDEX(choices!A:A,MATCH(M44,choices!A:A,0)+18),INDEX(choices!D:D,MATCH(M44,choices!A:A,0)+18),""),IF(M44=INDEX(choices!A:A,MATCH(M44,choices!A:A,0)+18), "
",""),IF(M44=INDEX(choices!A:A,MATCH(M44,choices!A:A,0)+19),INDEX(choices!D:D,MATCH(M44,choices!A:A,0)+19),""),IF(M44=INDEX(choices!A:A,MATCH(M44,choices!A:A,0)+19), "
",""),IF(M44=INDEX(choices!A:A,MATCH(M44,choices!A:A,0)+20),INDEX(choices!D:D,MATCH(M44,choices!A:A,0)+20),""),IF(M44=INDEX(choices!A:A,MATCH(M44,choices!A:A,0)+20), "
",""))</f>
        <v xml:space="preserve">1. Rarely (once or twice in the past four weeks) 
2. Sometimes (three to ten times in the past four weeks) 
3. Often (more than ten times in the past four weeks) 
</v>
      </c>
      <c r="E44" s="31" t="s">
        <v>909</v>
      </c>
      <c r="F44" s="31"/>
      <c r="G44" s="67" t="str">
        <f>CONCATENATE(INDEX(choices!C:C,MATCH(M44,choices!A:A,0)),"
",IF(M44=INDEX(choices!A:A,MATCH(M44,choices!A:A,0)+1),INDEX(choices!C:C,MATCH(M44,choices!A:A,0)+1),""),IF(M44=INDEX(choices!A:A,MATCH(M44,choices!A:A,0)+1), "
",""),IF(M44=INDEX(choices!A:A,MATCH(M44,choices!A:A,0)+2),INDEX(choices!C:C,MATCH(M44,choices!A:A,0)+2),""),IF(M44=INDEX(choices!A:A,MATCH(M44,choices!A:A,0)+2), "
",""),IF(M44=INDEX(choices!A:A,MATCH(M44,choices!A:A,0)+3),INDEX(choices!C:C,MATCH(M44,choices!A:A,0)+3),""),IF(M44=INDEX(choices!A:A,MATCH(M44,choices!A:A,0)+3), "
",""),IF(M44=INDEX(choices!A:A,MATCH(M44,choices!A:A,0)+4),INDEX(choices!C:C,MATCH(M44,choices!A:A,0)+4),""),IF(M44=INDEX(choices!A:A,MATCH(M44,choices!A:A,0)+4), "
",""),IF(M44=INDEX(choices!A:A,MATCH(M44,choices!A:A,0)+5),INDEX(choices!C:C,MATCH(M44,choices!A:A,0)+5),""),IF(M44=INDEX(choices!A:A,MATCH(M44,choices!A:A,0)+5), "
",""),IF(M44=INDEX(choices!A:A,MATCH(M44,choices!A:A,0)+6),INDEX(choices!C:C,MATCH(M44,choices!A:A,0)+6),""),IF(M44=INDEX(choices!A:A,MATCH(M44,choices!A:A,0)+6), "
",""),IF(M44=INDEX(choices!A:A,MATCH(M44,choices!A:A,0)+7),INDEX(choices!C:C,MATCH(M44,choices!A:A,0)+7),""),IF(M44=INDEX(choices!A:A,MATCH(M44,choices!A:A,0)+7), "
",""),IF(M44=INDEX(choices!A:A,MATCH(M44,choices!A:A,0)+8),INDEX(choices!C:C,MATCH(M44,choices!A:A,0)+8),""),IF(M44=INDEX(choices!A:A,MATCH(M44,choices!A:A,0)+8), "
",""),IF(M44=INDEX(choices!A:A,MATCH(M44,choices!A:A,0)+9),INDEX(choices!C:C,MATCH(M44,choices!A:A,0)+9),""),IF(M44=INDEX(choices!A:A,MATCH(M44,choices!A:A,0)+9), "
",""),IF(M44=INDEX(choices!A:A,MATCH(M44,choices!A:A,0)+10),INDEX(choices!C:C,MATCH(M44,choices!A:A,0)+10),""),IF(M44=INDEX(choices!A:A,MATCH(M44,choices!A:A,0)+10), "
",""),IF(M44=INDEX(choices!A:A,MATCH(M44,choices!A:A,0)+11),INDEX(choices!C:C,MATCH(M44,choices!A:A,0)+11),""),IF(M44=INDEX(choices!A:A,MATCH(M44,choices!A:A,0)+11), "
",""),IF(M44=INDEX(choices!A:A,MATCH(M44,choices!A:A,0)+12),INDEX(choices!C:C,MATCH(M44,choices!A:A,0)+12),""),IF(M44=INDEX(choices!A:A,MATCH(M44,choices!A:A,0)+12), "
",""),IF(M44=INDEX(choices!A:A,MATCH(M44,choices!A:A,0)+13),INDEX(choices!C:C,MATCH(M44,choices!A:A,0)+13),""),IF(M44=INDEX(choices!A:A,MATCH(M44,choices!A:A,0)+13), "
",""),IF(M44=INDEX(choices!A:A,MATCH(M44,choices!A:A,0)+14),INDEX(choices!C:C,MATCH(M44,choices!A:A,0)+14),""),IF(M44=INDEX(choices!A:A,MATCH(M44,choices!A:A,0)+14), "
",""),IF(M44=INDEX(choices!A:A,MATCH(M44,choices!A:A,0)+15),INDEX(choices!C:C,MATCH(M44,choices!A:A,0)+15),""),IF(M44=INDEX(choices!A:A,MATCH(M44,choices!A:A,0)+15), "
",""),IF(M44=INDEX(choices!A:A,MATCH(M44,choices!A:A,0)+16),INDEX(choices!C:C,MATCH(M44,choices!A:A,0)+16),""),IF(M44=INDEX(choices!A:A,MATCH(M44,choices!A:A,0)+16), "
",""),IF(M44=INDEX(choices!A:A,MATCH(M44,choices!A:A,0)+17),INDEX(choices!C:C,MATCH(M44,choices!A:A,0)+17),""),IF(M44=INDEX(choices!A:A,MATCH(M44,choices!A:A,0)+17), "
",""),IF(M44=INDEX(choices!A:A,MATCH(M44,choices!A:A,0)+18),INDEX(choices!C:C,MATCH(M44,choices!A:A,0)+18),""),IF(M44=INDEX(choices!A:A,MATCH(M44,choices!A:A,0)+18), "
",""),IF(M44=INDEX(choices!A:A,MATCH(M44,choices!A:A,0)+19),INDEX(choices!C:C,MATCH(M44,choices!A:A,0)+19),""),IF(M44=INDEX(choices!A:A,MATCH(M44,choices!A:A,0)+19), "
",""),IF(M44=INDEX(choices!A:A,MATCH(M44,choices!A:A,0)+20),INDEX(choices!C:C,MATCH(M44,choices!A:A,0)+20),""),IF(M44=INDEX(choices!A:A,MATCH(M44,choices!A:A,0)+20), "
","")," ")</f>
        <v xml:space="preserve">1. نادرا مرة أو مرتين في الأسابيع الأربعة الماضية
2. أحيانا ثلاث إلى عشر مرات في الأسابيع الأربعة الماضية
3. . في كثير من الأحيان أكثر من عشر مرات في الأسابيع الأربعة الماضية
 </v>
      </c>
      <c r="I44" s="1" t="str">
        <f>CONCATENATE(I41, "_2")</f>
        <v>14407_2</v>
      </c>
      <c r="K44" s="14"/>
      <c r="L44" s="1" t="s">
        <v>18</v>
      </c>
      <c r="M44" s="1" t="s">
        <v>908</v>
      </c>
      <c r="N44" s="64" t="str">
        <f>CONCATENATE("q",I44)</f>
        <v>q14407_2</v>
      </c>
      <c r="O44" s="306" t="str">
        <f>CONCATENATE(I44,". ",E44)</f>
        <v>14407_2. كم مرة؟</v>
      </c>
      <c r="P44" s="257" t="str">
        <f>CONCATENATE(I44,". ",B44)</f>
        <v xml:space="preserve">14407_2. How often? </v>
      </c>
      <c r="Q44" s="28"/>
      <c r="R44" s="28"/>
      <c r="S44" s="43" t="str">
        <f>CONCATENATE(K43, " &amp;&amp; ", '1_0_statistical_identification'!$S$164)</f>
        <v>selected (data('q14407_1'), '1') &amp;&amp; (data('valid_overall') == 1)</v>
      </c>
      <c r="T44" s="47"/>
      <c r="U44" s="47"/>
      <c r="V44" s="47"/>
      <c r="W44" s="47"/>
      <c r="X44" s="47"/>
      <c r="Y44" s="1" t="b">
        <v>1</v>
      </c>
    </row>
    <row r="45" spans="1:25" s="1" customFormat="1">
      <c r="B45" s="28"/>
      <c r="C45" s="28"/>
      <c r="D45" s="28"/>
      <c r="E45" s="31"/>
      <c r="F45" s="28"/>
      <c r="G45" s="28"/>
      <c r="J45" s="135" t="s">
        <v>24</v>
      </c>
      <c r="K45" s="14"/>
      <c r="L45" s="19"/>
      <c r="N45" s="64"/>
      <c r="O45" s="31"/>
      <c r="P45" s="31"/>
      <c r="Q45" s="28"/>
      <c r="R45" s="28"/>
      <c r="S45" s="43"/>
    </row>
    <row r="46" spans="1:25" s="1" customFormat="1">
      <c r="B46" s="28"/>
      <c r="C46" s="28"/>
      <c r="D46" s="28"/>
      <c r="E46" s="31"/>
      <c r="F46" s="28"/>
      <c r="G46" s="28"/>
      <c r="H46" s="134" t="str">
        <f>CONCATENATE("If all 2--&gt;",I67)</f>
        <v>If all 2--&gt;14409</v>
      </c>
      <c r="J46" s="1" t="s">
        <v>21</v>
      </c>
      <c r="K46" s="14"/>
      <c r="N46" s="64"/>
      <c r="O46" s="31"/>
      <c r="P46" s="31"/>
      <c r="Q46" s="28"/>
      <c r="R46" s="28"/>
      <c r="S46" s="43"/>
    </row>
    <row r="47" spans="1:25" s="1" customFormat="1">
      <c r="B47" s="28"/>
      <c r="C47" s="28"/>
      <c r="D47" s="28"/>
      <c r="E47" s="31"/>
      <c r="F47" s="28"/>
      <c r="G47" s="28"/>
      <c r="H47" s="134"/>
      <c r="J47" s="135" t="s">
        <v>23</v>
      </c>
      <c r="K47" s="14" t="str">
        <f>CONCATENATE("(selected(data('",N6,"'), '1') || selected(data('",N12,"'), '1') || selected(data('",N18,"'), '1') || selected(data('",N24,"'), '1') ||selected(data('",N30,"'), '1') || selected(data('",N36,"'), '1') || selected(data('",N42,"'), '1') )")</f>
        <v>(selected(data('q14401_1'), '1') || selected(data('q14402_1'), '1') || selected(data('q14403_1'), '1') || selected(data('q14404_1'), '1') ||selected(data('q14405_1'), '1') || selected(data('q14406_1'), '1') || selected(data('q14407_1'), '1') )</v>
      </c>
      <c r="N47" s="64"/>
      <c r="O47" s="31"/>
      <c r="P47" s="31"/>
      <c r="Q47" s="28"/>
      <c r="R47" s="28"/>
      <c r="S47" s="43"/>
    </row>
    <row r="48" spans="1:25" s="1" customFormat="1" ht="30">
      <c r="B48" s="28"/>
      <c r="C48" s="28"/>
      <c r="D48" s="28"/>
      <c r="E48" s="31"/>
      <c r="F48" s="28"/>
      <c r="G48" s="28"/>
      <c r="I48" s="265"/>
      <c r="J48" s="278" t="s">
        <v>20</v>
      </c>
      <c r="K48" s="265"/>
      <c r="L48" s="266"/>
      <c r="M48" s="266"/>
      <c r="N48" s="266"/>
      <c r="O48" s="266"/>
      <c r="P48" s="269"/>
      <c r="Q48" s="28"/>
      <c r="R48" s="28"/>
      <c r="S48" s="43"/>
    </row>
    <row r="49" spans="1:31" s="265" customFormat="1" ht="135">
      <c r="B49" s="279" t="s">
        <v>930</v>
      </c>
      <c r="C49" s="279"/>
      <c r="D49" s="266"/>
      <c r="E49" s="450" t="s">
        <v>1552</v>
      </c>
      <c r="F49" s="279"/>
      <c r="G49" s="266"/>
      <c r="J49" s="266"/>
      <c r="L49" s="278" t="s">
        <v>22</v>
      </c>
      <c r="M49" s="266"/>
      <c r="N49" s="266"/>
      <c r="O49" s="266" t="str">
        <f>E49</f>
        <v>في الأسابيع الأربعة الماضية، إذا كانت هناك أوقات لم يكن لديك فيها ما يكفي من الطعام أو المال لشراء الطعام، هل اضطرت أسرتك إلى:</v>
      </c>
      <c r="P49" s="269" t="str">
        <f>B49</f>
        <v>In the past four weeks, if there have been times when you did not have enough food or money to buy food, has your household had to:</v>
      </c>
      <c r="Q49" s="266"/>
      <c r="R49" s="266"/>
      <c r="S49" s="426"/>
    </row>
    <row r="50" spans="1:31" s="265" customFormat="1">
      <c r="B50" s="266"/>
      <c r="C50" s="266"/>
      <c r="D50" s="266"/>
      <c r="F50" s="266"/>
      <c r="G50" s="266"/>
      <c r="I50" s="265">
        <f>I41+1</f>
        <v>14408</v>
      </c>
      <c r="K50" s="267"/>
      <c r="L50" s="267"/>
      <c r="N50" s="267"/>
      <c r="O50" s="266"/>
      <c r="P50" s="266"/>
      <c r="Q50" s="266"/>
      <c r="R50" s="266"/>
      <c r="S50" s="426"/>
    </row>
    <row r="51" spans="1:31" s="265" customFormat="1" ht="94.5">
      <c r="A51" s="48" t="str">
        <f t="shared" ref="A51:A59" si="0">N51</f>
        <v>q14408_1</v>
      </c>
      <c r="B51" s="280" t="s">
        <v>922</v>
      </c>
      <c r="C51" s="280"/>
      <c r="D51" s="127" t="str">
        <f>CONCATENATE(INDEX(choices!D:D,MATCH(M51,choices!A:A,0)),"
",IF(M51=INDEX(choices!A:A,MATCH(M51,choices!A:A,0)+1),INDEX(choices!D:D,MATCH(M51,choices!A:A,0)+1),""),IF(M51=INDEX(choices!A:A,MATCH(M51,choices!A:A,0)+1), "
",""),IF(M51=INDEX(choices!A:A,MATCH(M51,choices!A:A,0)+2),INDEX(choices!D:D,MATCH(M51,choices!A:A,0)+2),""),IF(M51=INDEX(choices!A:A,MATCH(M51,choices!A:A,0)+2), "
",""),IF(M51=INDEX(choices!A:A,MATCH(M51,choices!A:A,0)+3),INDEX(choices!D:D,MATCH(M51,choices!A:A,0)+3),""),IF(M51=INDEX(choices!A:A,MATCH(M51,choices!A:A,0)+3), "
",""),IF(M51=INDEX(choices!A:A,MATCH(M51,choices!A:A,0)+4),INDEX(choices!D:D,MATCH(M51,choices!A:A,0)+4),""),IF(M51=INDEX(choices!A:A,MATCH(M51,choices!A:A,0)+4), "
",""),IF(M51=INDEX(choices!A:A,MATCH(M51,choices!A:A,0)+5),INDEX(choices!D:D,MATCH(M51,choices!A:A,0)+5),""),IF(M51=INDEX(choices!A:A,MATCH(M51,choices!A:A,0)+5), "
",""),IF(M51=INDEX(choices!A:A,MATCH(M51,choices!A:A,0)+6),INDEX(choices!D:D,MATCH(M51,choices!A:A,0)+6),""),IF(M51=INDEX(choices!A:A,MATCH(M51,choices!A:A,0)+6), "
",""),IF(M51=INDEX(choices!A:A,MATCH(M51,choices!A:A,0)+7),INDEX(choices!D:D,MATCH(M51,choices!A:A,0)+7),""),IF(M51=INDEX(choices!A:A,MATCH(M51,choices!A:A,0)+7), "
",""),IF(M51=INDEX(choices!A:A,MATCH(M51,choices!A:A,0)+8),INDEX(choices!D:D,MATCH(M51,choices!A:A,0)+8),""),IF(M51=INDEX(choices!A:A,MATCH(M51,choices!A:A,0)+8), "
",""),IF(M51=INDEX(choices!A:A,MATCH(M51,choices!A:A,0)+9),INDEX(choices!D:D,MATCH(M51,choices!A:A,0)+9),""),IF(M51=INDEX(choices!A:A,MATCH(M51,choices!A:A,0)+9), "
",""),IF(M51=INDEX(choices!A:A,MATCH(M51,choices!A:A,0)+10),INDEX(choices!D:D,MATCH(M51,choices!A:A,0)+10),""),IF(M51=INDEX(choices!A:A,MATCH(M51,choices!A:A,0)+10), "
",""),IF(M51=INDEX(choices!A:A,MATCH(M51,choices!A:A,0)+11),INDEX(choices!D:D,MATCH(M51,choices!A:A,0)+11),""),IF(M51=INDEX(choices!A:A,MATCH(M51,choices!A:A,0)+11), "
",""),IF(M51=INDEX(choices!A:A,MATCH(M51,choices!A:A,0)+12),INDEX(choices!D:D,MATCH(M51,choices!A:A,0)+12),""),IF(M51=INDEX(choices!A:A,MATCH(M51,choices!A:A,0)+12), "
",""),IF(M51=INDEX(choices!A:A,MATCH(M51,choices!A:A,0)+13),INDEX(choices!D:D,MATCH(M51,choices!A:A,0)+13),""),IF(M51=INDEX(choices!A:A,MATCH(M51,choices!A:A,0)+13), "
",""),IF(M51=INDEX(choices!A:A,MATCH(M51,choices!A:A,0)+14),INDEX(choices!D:D,MATCH(M51,choices!A:A,0)+14),""),IF(M51=INDEX(choices!A:A,MATCH(M51,choices!A:A,0)+14), "
",""),IF(M51=INDEX(choices!A:A,MATCH(M51,choices!A:A,0)+15),INDEX(choices!D:D,MATCH(M51,choices!A:A,0)+15),""),IF(M51=INDEX(choices!A:A,MATCH(M51,choices!A:A,0)+15), "
",""),IF(M51=INDEX(choices!A:A,MATCH(M51,choices!A:A,0)+16),INDEX(choices!D:D,MATCH(M51,choices!A:A,0)+16),""),IF(M51=INDEX(choices!A:A,MATCH(M51,choices!A:A,0)+16), "
",""),IF(M51=INDEX(choices!A:A,MATCH(M51,choices!A:A,0)+17),INDEX(choices!D:D,MATCH(M51,choices!A:A,0)+17),""),IF(M51=INDEX(choices!A:A,MATCH(M51,choices!A:A,0)+17), "
",""),IF(M51=INDEX(choices!A:A,MATCH(M51,choices!A:A,0)+18),INDEX(choices!D:D,MATCH(M51,choices!A:A,0)+18),""),IF(M51=INDEX(choices!A:A,MATCH(M51,choices!A:A,0)+18), "
",""),IF(M51=INDEX(choices!A:A,MATCH(M51,choices!A:A,0)+19),INDEX(choices!D:D,MATCH(M51,choices!A:A,0)+19),""),IF(M51=INDEX(choices!A:A,MATCH(M51,choices!A:A,0)+19), "
",""),IF(M51=INDEX(choices!A:A,MATCH(M51,choices!A:A,0)+20),INDEX(choices!D:D,MATCH(M51,choices!A:A,0)+20),""),IF(M51=INDEX(choices!A:A,MATCH(M51,choices!A:A,0)+20), "
",""))</f>
        <v xml:space="preserve">1. Yes
2. No
</v>
      </c>
      <c r="E51" s="366" t="s">
        <v>1226</v>
      </c>
      <c r="F51" s="280"/>
      <c r="G51" s="67" t="str">
        <f>CONCATENATE(INDEX(choices!C:C,MATCH(M51,choices!A:A,0)),"
",IF(M51=INDEX(choices!A:A,MATCH(M51,choices!A:A,0)+1),INDEX(choices!C:C,MATCH(M51,choices!A:A,0)+1),""),IF(M51=INDEX(choices!A:A,MATCH(M51,choices!A:A,0)+1), "
",""),IF(M51=INDEX(choices!A:A,MATCH(M51,choices!A:A,0)+2),INDEX(choices!C:C,MATCH(M51,choices!A:A,0)+2),""),IF(M51=INDEX(choices!A:A,MATCH(M51,choices!A:A,0)+2), "
",""),IF(M51=INDEX(choices!A:A,MATCH(M51,choices!A:A,0)+3),INDEX(choices!C:C,MATCH(M51,choices!A:A,0)+3),""),IF(M51=INDEX(choices!A:A,MATCH(M51,choices!A:A,0)+3), "
",""),IF(M51=INDEX(choices!A:A,MATCH(M51,choices!A:A,0)+4),INDEX(choices!C:C,MATCH(M51,choices!A:A,0)+4),""),IF(M51=INDEX(choices!A:A,MATCH(M51,choices!A:A,0)+4), "
",""),IF(M51=INDEX(choices!A:A,MATCH(M51,choices!A:A,0)+5),INDEX(choices!C:C,MATCH(M51,choices!A:A,0)+5),""),IF(M51=INDEX(choices!A:A,MATCH(M51,choices!A:A,0)+5), "
",""),IF(M51=INDEX(choices!A:A,MATCH(M51,choices!A:A,0)+6),INDEX(choices!C:C,MATCH(M51,choices!A:A,0)+6),""),IF(M51=INDEX(choices!A:A,MATCH(M51,choices!A:A,0)+6), "
",""),IF(M51=INDEX(choices!A:A,MATCH(M51,choices!A:A,0)+7),INDEX(choices!C:C,MATCH(M51,choices!A:A,0)+7),""),IF(M51=INDEX(choices!A:A,MATCH(M51,choices!A:A,0)+7), "
",""),IF(M51=INDEX(choices!A:A,MATCH(M51,choices!A:A,0)+8),INDEX(choices!C:C,MATCH(M51,choices!A:A,0)+8),""),IF(M51=INDEX(choices!A:A,MATCH(M51,choices!A:A,0)+8), "
",""),IF(M51=INDEX(choices!A:A,MATCH(M51,choices!A:A,0)+9),INDEX(choices!C:C,MATCH(M51,choices!A:A,0)+9),""),IF(M51=INDEX(choices!A:A,MATCH(M51,choices!A:A,0)+9), "
",""),IF(M51=INDEX(choices!A:A,MATCH(M51,choices!A:A,0)+10),INDEX(choices!C:C,MATCH(M51,choices!A:A,0)+10),""),IF(M51=INDEX(choices!A:A,MATCH(M51,choices!A:A,0)+10), "
",""),IF(M51=INDEX(choices!A:A,MATCH(M51,choices!A:A,0)+11),INDEX(choices!C:C,MATCH(M51,choices!A:A,0)+11),""),IF(M51=INDEX(choices!A:A,MATCH(M51,choices!A:A,0)+11), "
",""),IF(M51=INDEX(choices!A:A,MATCH(M51,choices!A:A,0)+12),INDEX(choices!C:C,MATCH(M51,choices!A:A,0)+12),""),IF(M51=INDEX(choices!A:A,MATCH(M51,choices!A:A,0)+12), "
",""),IF(M51=INDEX(choices!A:A,MATCH(M51,choices!A:A,0)+13),INDEX(choices!C:C,MATCH(M51,choices!A:A,0)+13),""),IF(M51=INDEX(choices!A:A,MATCH(M51,choices!A:A,0)+13), "
",""),IF(M51=INDEX(choices!A:A,MATCH(M51,choices!A:A,0)+14),INDEX(choices!C:C,MATCH(M51,choices!A:A,0)+14),""),IF(M51=INDEX(choices!A:A,MATCH(M51,choices!A:A,0)+14), "
",""),IF(M51=INDEX(choices!A:A,MATCH(M51,choices!A:A,0)+15),INDEX(choices!C:C,MATCH(M51,choices!A:A,0)+15),""),IF(M51=INDEX(choices!A:A,MATCH(M51,choices!A:A,0)+15), "
",""),IF(M51=INDEX(choices!A:A,MATCH(M51,choices!A:A,0)+16),INDEX(choices!C:C,MATCH(M51,choices!A:A,0)+16),""),IF(M51=INDEX(choices!A:A,MATCH(M51,choices!A:A,0)+16), "
",""),IF(M51=INDEX(choices!A:A,MATCH(M51,choices!A:A,0)+17),INDEX(choices!C:C,MATCH(M51,choices!A:A,0)+17),""),IF(M51=INDEX(choices!A:A,MATCH(M51,choices!A:A,0)+17), "
",""),IF(M51=INDEX(choices!A:A,MATCH(M51,choices!A:A,0)+18),INDEX(choices!C:C,MATCH(M51,choices!A:A,0)+18),""),IF(M51=INDEX(choices!A:A,MATCH(M51,choices!A:A,0)+18), "
",""),IF(M51=INDEX(choices!A:A,MATCH(M51,choices!A:A,0)+19),INDEX(choices!C:C,MATCH(M51,choices!A:A,0)+19),""),IF(M51=INDEX(choices!A:A,MATCH(M51,choices!A:A,0)+19), "
",""),IF(M51=INDEX(choices!A:A,MATCH(M51,choices!A:A,0)+20),INDEX(choices!C:C,MATCH(M51,choices!A:A,0)+20),""),IF(M51=INDEX(choices!A:A,MATCH(M51,choices!A:A,0)+20), "
","")," ")</f>
        <v xml:space="preserve">1. نعم
2. لا
 </v>
      </c>
      <c r="H51" s="272">
        <v>1</v>
      </c>
      <c r="I51" s="274" t="str">
        <f t="shared" ref="I51:I59" si="1">CONCATENATE(I$50, "_",H51)</f>
        <v>14408_1</v>
      </c>
      <c r="J51" s="267"/>
      <c r="K51" s="267"/>
      <c r="L51" s="267" t="s">
        <v>170</v>
      </c>
      <c r="M51" s="277" t="s">
        <v>17</v>
      </c>
      <c r="N51" s="64" t="str">
        <f t="shared" ref="N51:N59" si="2">CONCATENATE("q",I51)</f>
        <v>q14408_1</v>
      </c>
      <c r="O51" s="306" t="str">
        <f t="shared" ref="O51:O59" si="3">CONCATENATE(I51,". ",E51)</f>
        <v>14408_1. اقتراض الطعام، أو الاعتماد على مساعدة من صديق أو قريب لتوفير أو شراء الطعام؟</v>
      </c>
      <c r="P51" s="257" t="str">
        <f t="shared" ref="P51:P59" si="4">CONCATENATE(I51,". ",B51)</f>
        <v>14408_1. Borrow food, or rely on help from a friend or relative to provide or buy food?</v>
      </c>
      <c r="Q51" s="28"/>
      <c r="R51" s="28"/>
      <c r="S51" s="43" t="str">
        <f>CONCATENATE(K$47, " &amp;&amp; ", '1_0_statistical_identification'!$S$164)</f>
        <v>(selected(data('q14401_1'), '1') || selected(data('q14402_1'), '1') || selected(data('q14403_1'), '1') || selected(data('q14404_1'), '1') ||selected(data('q14405_1'), '1') || selected(data('q14406_1'), '1') || selected(data('q14407_1'), '1') ) &amp;&amp; (data('valid_overall') == 1)</v>
      </c>
      <c r="T51" s="262"/>
      <c r="U51" s="262"/>
      <c r="V51" s="262"/>
      <c r="W51" s="262"/>
      <c r="X51" s="262"/>
      <c r="Y51" s="1" t="b">
        <v>1</v>
      </c>
    </row>
    <row r="52" spans="1:31" s="265" customFormat="1" ht="45">
      <c r="A52" s="48" t="str">
        <f t="shared" si="0"/>
        <v>q14408_2</v>
      </c>
      <c r="B52" s="280" t="s">
        <v>923</v>
      </c>
      <c r="C52" s="280"/>
      <c r="D52" s="127" t="str">
        <f>CONCATENATE(INDEX(choices!D:D,MATCH(M52,choices!A:A,0)),"
",IF(M52=INDEX(choices!A:A,MATCH(M52,choices!A:A,0)+1),INDEX(choices!D:D,MATCH(M52,choices!A:A,0)+1),""),IF(M52=INDEX(choices!A:A,MATCH(M52,choices!A:A,0)+1), "
",""),IF(M52=INDEX(choices!A:A,MATCH(M52,choices!A:A,0)+2),INDEX(choices!D:D,MATCH(M52,choices!A:A,0)+2),""),IF(M52=INDEX(choices!A:A,MATCH(M52,choices!A:A,0)+2), "
",""),IF(M52=INDEX(choices!A:A,MATCH(M52,choices!A:A,0)+3),INDEX(choices!D:D,MATCH(M52,choices!A:A,0)+3),""),IF(M52=INDEX(choices!A:A,MATCH(M52,choices!A:A,0)+3), "
",""),IF(M52=INDEX(choices!A:A,MATCH(M52,choices!A:A,0)+4),INDEX(choices!D:D,MATCH(M52,choices!A:A,0)+4),""),IF(M52=INDEX(choices!A:A,MATCH(M52,choices!A:A,0)+4), "
",""),IF(M52=INDEX(choices!A:A,MATCH(M52,choices!A:A,0)+5),INDEX(choices!D:D,MATCH(M52,choices!A:A,0)+5),""),IF(M52=INDEX(choices!A:A,MATCH(M52,choices!A:A,0)+5), "
",""),IF(M52=INDEX(choices!A:A,MATCH(M52,choices!A:A,0)+6),INDEX(choices!D:D,MATCH(M52,choices!A:A,0)+6),""),IF(M52=INDEX(choices!A:A,MATCH(M52,choices!A:A,0)+6), "
",""),IF(M52=INDEX(choices!A:A,MATCH(M52,choices!A:A,0)+7),INDEX(choices!D:D,MATCH(M52,choices!A:A,0)+7),""),IF(M52=INDEX(choices!A:A,MATCH(M52,choices!A:A,0)+7), "
",""),IF(M52=INDEX(choices!A:A,MATCH(M52,choices!A:A,0)+8),INDEX(choices!D:D,MATCH(M52,choices!A:A,0)+8),""),IF(M52=INDEX(choices!A:A,MATCH(M52,choices!A:A,0)+8), "
",""),IF(M52=INDEX(choices!A:A,MATCH(M52,choices!A:A,0)+9),INDEX(choices!D:D,MATCH(M52,choices!A:A,0)+9),""),IF(M52=INDEX(choices!A:A,MATCH(M52,choices!A:A,0)+9), "
",""),IF(M52=INDEX(choices!A:A,MATCH(M52,choices!A:A,0)+10),INDEX(choices!D:D,MATCH(M52,choices!A:A,0)+10),""),IF(M52=INDEX(choices!A:A,MATCH(M52,choices!A:A,0)+10), "
",""),IF(M52=INDEX(choices!A:A,MATCH(M52,choices!A:A,0)+11),INDEX(choices!D:D,MATCH(M52,choices!A:A,0)+11),""),IF(M52=INDEX(choices!A:A,MATCH(M52,choices!A:A,0)+11), "
",""),IF(M52=INDEX(choices!A:A,MATCH(M52,choices!A:A,0)+12),INDEX(choices!D:D,MATCH(M52,choices!A:A,0)+12),""),IF(M52=INDEX(choices!A:A,MATCH(M52,choices!A:A,0)+12), "
",""),IF(M52=INDEX(choices!A:A,MATCH(M52,choices!A:A,0)+13),INDEX(choices!D:D,MATCH(M52,choices!A:A,0)+13),""),IF(M52=INDEX(choices!A:A,MATCH(M52,choices!A:A,0)+13), "
",""),IF(M52=INDEX(choices!A:A,MATCH(M52,choices!A:A,0)+14),INDEX(choices!D:D,MATCH(M52,choices!A:A,0)+14),""),IF(M52=INDEX(choices!A:A,MATCH(M52,choices!A:A,0)+14), "
",""),IF(M52=INDEX(choices!A:A,MATCH(M52,choices!A:A,0)+15),INDEX(choices!D:D,MATCH(M52,choices!A:A,0)+15),""),IF(M52=INDEX(choices!A:A,MATCH(M52,choices!A:A,0)+15), "
",""),IF(M52=INDEX(choices!A:A,MATCH(M52,choices!A:A,0)+16),INDEX(choices!D:D,MATCH(M52,choices!A:A,0)+16),""),IF(M52=INDEX(choices!A:A,MATCH(M52,choices!A:A,0)+16), "
",""),IF(M52=INDEX(choices!A:A,MATCH(M52,choices!A:A,0)+17),INDEX(choices!D:D,MATCH(M52,choices!A:A,0)+17),""),IF(M52=INDEX(choices!A:A,MATCH(M52,choices!A:A,0)+17), "
",""),IF(M52=INDEX(choices!A:A,MATCH(M52,choices!A:A,0)+18),INDEX(choices!D:D,MATCH(M52,choices!A:A,0)+18),""),IF(M52=INDEX(choices!A:A,MATCH(M52,choices!A:A,0)+18), "
",""),IF(M52=INDEX(choices!A:A,MATCH(M52,choices!A:A,0)+19),INDEX(choices!D:D,MATCH(M52,choices!A:A,0)+19),""),IF(M52=INDEX(choices!A:A,MATCH(M52,choices!A:A,0)+19), "
",""),IF(M52=INDEX(choices!A:A,MATCH(M52,choices!A:A,0)+20),INDEX(choices!D:D,MATCH(M52,choices!A:A,0)+20),""),IF(M52=INDEX(choices!A:A,MATCH(M52,choices!A:A,0)+20), "
",""))</f>
        <v xml:space="preserve">1. Yes
2. No
</v>
      </c>
      <c r="E52" s="450" t="s">
        <v>1553</v>
      </c>
      <c r="F52" s="280"/>
      <c r="G52" s="67" t="str">
        <f>CONCATENATE(INDEX(choices!C:C,MATCH(M52,choices!A:A,0)),"
",IF(M52=INDEX(choices!A:A,MATCH(M52,choices!A:A,0)+1),INDEX(choices!C:C,MATCH(M52,choices!A:A,0)+1),""),IF(M52=INDEX(choices!A:A,MATCH(M52,choices!A:A,0)+1), "
",""),IF(M52=INDEX(choices!A:A,MATCH(M52,choices!A:A,0)+2),INDEX(choices!C:C,MATCH(M52,choices!A:A,0)+2),""),IF(M52=INDEX(choices!A:A,MATCH(M52,choices!A:A,0)+2), "
",""),IF(M52=INDEX(choices!A:A,MATCH(M52,choices!A:A,0)+3),INDEX(choices!C:C,MATCH(M52,choices!A:A,0)+3),""),IF(M52=INDEX(choices!A:A,MATCH(M52,choices!A:A,0)+3), "
",""),IF(M52=INDEX(choices!A:A,MATCH(M52,choices!A:A,0)+4),INDEX(choices!C:C,MATCH(M52,choices!A:A,0)+4),""),IF(M52=INDEX(choices!A:A,MATCH(M52,choices!A:A,0)+4), "
",""),IF(M52=INDEX(choices!A:A,MATCH(M52,choices!A:A,0)+5),INDEX(choices!C:C,MATCH(M52,choices!A:A,0)+5),""),IF(M52=INDEX(choices!A:A,MATCH(M52,choices!A:A,0)+5), "
",""),IF(M52=INDEX(choices!A:A,MATCH(M52,choices!A:A,0)+6),INDEX(choices!C:C,MATCH(M52,choices!A:A,0)+6),""),IF(M52=INDEX(choices!A:A,MATCH(M52,choices!A:A,0)+6), "
",""),IF(M52=INDEX(choices!A:A,MATCH(M52,choices!A:A,0)+7),INDEX(choices!C:C,MATCH(M52,choices!A:A,0)+7),""),IF(M52=INDEX(choices!A:A,MATCH(M52,choices!A:A,0)+7), "
",""),IF(M52=INDEX(choices!A:A,MATCH(M52,choices!A:A,0)+8),INDEX(choices!C:C,MATCH(M52,choices!A:A,0)+8),""),IF(M52=INDEX(choices!A:A,MATCH(M52,choices!A:A,0)+8), "
",""),IF(M52=INDEX(choices!A:A,MATCH(M52,choices!A:A,0)+9),INDEX(choices!C:C,MATCH(M52,choices!A:A,0)+9),""),IF(M52=INDEX(choices!A:A,MATCH(M52,choices!A:A,0)+9), "
",""),IF(M52=INDEX(choices!A:A,MATCH(M52,choices!A:A,0)+10),INDEX(choices!C:C,MATCH(M52,choices!A:A,0)+10),""),IF(M52=INDEX(choices!A:A,MATCH(M52,choices!A:A,0)+10), "
",""),IF(M52=INDEX(choices!A:A,MATCH(M52,choices!A:A,0)+11),INDEX(choices!C:C,MATCH(M52,choices!A:A,0)+11),""),IF(M52=INDEX(choices!A:A,MATCH(M52,choices!A:A,0)+11), "
",""),IF(M52=INDEX(choices!A:A,MATCH(M52,choices!A:A,0)+12),INDEX(choices!C:C,MATCH(M52,choices!A:A,0)+12),""),IF(M52=INDEX(choices!A:A,MATCH(M52,choices!A:A,0)+12), "
",""),IF(M52=INDEX(choices!A:A,MATCH(M52,choices!A:A,0)+13),INDEX(choices!C:C,MATCH(M52,choices!A:A,0)+13),""),IF(M52=INDEX(choices!A:A,MATCH(M52,choices!A:A,0)+13), "
",""),IF(M52=INDEX(choices!A:A,MATCH(M52,choices!A:A,0)+14),INDEX(choices!C:C,MATCH(M52,choices!A:A,0)+14),""),IF(M52=INDEX(choices!A:A,MATCH(M52,choices!A:A,0)+14), "
",""),IF(M52=INDEX(choices!A:A,MATCH(M52,choices!A:A,0)+15),INDEX(choices!C:C,MATCH(M52,choices!A:A,0)+15),""),IF(M52=INDEX(choices!A:A,MATCH(M52,choices!A:A,0)+15), "
",""),IF(M52=INDEX(choices!A:A,MATCH(M52,choices!A:A,0)+16),INDEX(choices!C:C,MATCH(M52,choices!A:A,0)+16),""),IF(M52=INDEX(choices!A:A,MATCH(M52,choices!A:A,0)+16), "
",""),IF(M52=INDEX(choices!A:A,MATCH(M52,choices!A:A,0)+17),INDEX(choices!C:C,MATCH(M52,choices!A:A,0)+17),""),IF(M52=INDEX(choices!A:A,MATCH(M52,choices!A:A,0)+17), "
",""),IF(M52=INDEX(choices!A:A,MATCH(M52,choices!A:A,0)+18),INDEX(choices!C:C,MATCH(M52,choices!A:A,0)+18),""),IF(M52=INDEX(choices!A:A,MATCH(M52,choices!A:A,0)+18), "
",""),IF(M52=INDEX(choices!A:A,MATCH(M52,choices!A:A,0)+19),INDEX(choices!C:C,MATCH(M52,choices!A:A,0)+19),""),IF(M52=INDEX(choices!A:A,MATCH(M52,choices!A:A,0)+19), "
",""),IF(M52=INDEX(choices!A:A,MATCH(M52,choices!A:A,0)+20),INDEX(choices!C:C,MATCH(M52,choices!A:A,0)+20),""),IF(M52=INDEX(choices!A:A,MATCH(M52,choices!A:A,0)+20), "
","")," ")</f>
        <v xml:space="preserve">1. نعم
2. لا
 </v>
      </c>
      <c r="H52" s="266">
        <f t="shared" ref="H52:H59" si="5">H51+1</f>
        <v>2</v>
      </c>
      <c r="I52" s="274" t="str">
        <f t="shared" si="1"/>
        <v>14408_2</v>
      </c>
      <c r="J52" s="267"/>
      <c r="K52" s="267"/>
      <c r="L52" s="267" t="s">
        <v>170</v>
      </c>
      <c r="M52" s="277" t="s">
        <v>17</v>
      </c>
      <c r="N52" s="64" t="str">
        <f t="shared" si="2"/>
        <v>q14408_2</v>
      </c>
      <c r="O52" s="306" t="str">
        <f t="shared" si="3"/>
        <v>14408_2. شراء الطعام بالآجل (بالائتمان/على النوتة)؟</v>
      </c>
      <c r="P52" s="257" t="str">
        <f t="shared" si="4"/>
        <v>14408_2. Purchase food on credit?</v>
      </c>
      <c r="Q52" s="28"/>
      <c r="R52" s="28"/>
      <c r="S52" s="43" t="str">
        <f>CONCATENATE(K$47, " &amp;&amp; ", '1_0_statistical_identification'!$S$164)</f>
        <v>(selected(data('q14401_1'), '1') || selected(data('q14402_1'), '1') || selected(data('q14403_1'), '1') || selected(data('q14404_1'), '1') ||selected(data('q14405_1'), '1') || selected(data('q14406_1'), '1') || selected(data('q14407_1'), '1') ) &amp;&amp; (data('valid_overall') == 1)</v>
      </c>
      <c r="T52" s="262"/>
      <c r="U52" s="262"/>
      <c r="V52" s="262"/>
      <c r="W52" s="262"/>
      <c r="X52" s="262"/>
      <c r="Y52" s="1" t="b">
        <v>1</v>
      </c>
    </row>
    <row r="53" spans="1:31" s="265" customFormat="1" ht="47.25">
      <c r="A53" s="48" t="str">
        <f t="shared" si="0"/>
        <v>q14408_3</v>
      </c>
      <c r="B53" s="280" t="s">
        <v>924</v>
      </c>
      <c r="C53" s="280"/>
      <c r="D53" s="127" t="str">
        <f>CONCATENATE(INDEX(choices!D:D,MATCH(M53,choices!A:A,0)),"
",IF(M53=INDEX(choices!A:A,MATCH(M53,choices!A:A,0)+1),INDEX(choices!D:D,MATCH(M53,choices!A:A,0)+1),""),IF(M53=INDEX(choices!A:A,MATCH(M53,choices!A:A,0)+1), "
",""),IF(M53=INDEX(choices!A:A,MATCH(M53,choices!A:A,0)+2),INDEX(choices!D:D,MATCH(M53,choices!A:A,0)+2),""),IF(M53=INDEX(choices!A:A,MATCH(M53,choices!A:A,0)+2), "
",""),IF(M53=INDEX(choices!A:A,MATCH(M53,choices!A:A,0)+3),INDEX(choices!D:D,MATCH(M53,choices!A:A,0)+3),""),IF(M53=INDEX(choices!A:A,MATCH(M53,choices!A:A,0)+3), "
",""),IF(M53=INDEX(choices!A:A,MATCH(M53,choices!A:A,0)+4),INDEX(choices!D:D,MATCH(M53,choices!A:A,0)+4),""),IF(M53=INDEX(choices!A:A,MATCH(M53,choices!A:A,0)+4), "
",""),IF(M53=INDEX(choices!A:A,MATCH(M53,choices!A:A,0)+5),INDEX(choices!D:D,MATCH(M53,choices!A:A,0)+5),""),IF(M53=INDEX(choices!A:A,MATCH(M53,choices!A:A,0)+5), "
",""),IF(M53=INDEX(choices!A:A,MATCH(M53,choices!A:A,0)+6),INDEX(choices!D:D,MATCH(M53,choices!A:A,0)+6),""),IF(M53=INDEX(choices!A:A,MATCH(M53,choices!A:A,0)+6), "
",""),IF(M53=INDEX(choices!A:A,MATCH(M53,choices!A:A,0)+7),INDEX(choices!D:D,MATCH(M53,choices!A:A,0)+7),""),IF(M53=INDEX(choices!A:A,MATCH(M53,choices!A:A,0)+7), "
",""),IF(M53=INDEX(choices!A:A,MATCH(M53,choices!A:A,0)+8),INDEX(choices!D:D,MATCH(M53,choices!A:A,0)+8),""),IF(M53=INDEX(choices!A:A,MATCH(M53,choices!A:A,0)+8), "
",""),IF(M53=INDEX(choices!A:A,MATCH(M53,choices!A:A,0)+9),INDEX(choices!D:D,MATCH(M53,choices!A:A,0)+9),""),IF(M53=INDEX(choices!A:A,MATCH(M53,choices!A:A,0)+9), "
",""),IF(M53=INDEX(choices!A:A,MATCH(M53,choices!A:A,0)+10),INDEX(choices!D:D,MATCH(M53,choices!A:A,0)+10),""),IF(M53=INDEX(choices!A:A,MATCH(M53,choices!A:A,0)+10), "
",""),IF(M53=INDEX(choices!A:A,MATCH(M53,choices!A:A,0)+11),INDEX(choices!D:D,MATCH(M53,choices!A:A,0)+11),""),IF(M53=INDEX(choices!A:A,MATCH(M53,choices!A:A,0)+11), "
",""),IF(M53=INDEX(choices!A:A,MATCH(M53,choices!A:A,0)+12),INDEX(choices!D:D,MATCH(M53,choices!A:A,0)+12),""),IF(M53=INDEX(choices!A:A,MATCH(M53,choices!A:A,0)+12), "
",""),IF(M53=INDEX(choices!A:A,MATCH(M53,choices!A:A,0)+13),INDEX(choices!D:D,MATCH(M53,choices!A:A,0)+13),""),IF(M53=INDEX(choices!A:A,MATCH(M53,choices!A:A,0)+13), "
",""),IF(M53=INDEX(choices!A:A,MATCH(M53,choices!A:A,0)+14),INDEX(choices!D:D,MATCH(M53,choices!A:A,0)+14),""),IF(M53=INDEX(choices!A:A,MATCH(M53,choices!A:A,0)+14), "
",""),IF(M53=INDEX(choices!A:A,MATCH(M53,choices!A:A,0)+15),INDEX(choices!D:D,MATCH(M53,choices!A:A,0)+15),""),IF(M53=INDEX(choices!A:A,MATCH(M53,choices!A:A,0)+15), "
",""),IF(M53=INDEX(choices!A:A,MATCH(M53,choices!A:A,0)+16),INDEX(choices!D:D,MATCH(M53,choices!A:A,0)+16),""),IF(M53=INDEX(choices!A:A,MATCH(M53,choices!A:A,0)+16), "
",""),IF(M53=INDEX(choices!A:A,MATCH(M53,choices!A:A,0)+17),INDEX(choices!D:D,MATCH(M53,choices!A:A,0)+17),""),IF(M53=INDEX(choices!A:A,MATCH(M53,choices!A:A,0)+17), "
",""),IF(M53=INDEX(choices!A:A,MATCH(M53,choices!A:A,0)+18),INDEX(choices!D:D,MATCH(M53,choices!A:A,0)+18),""),IF(M53=INDEX(choices!A:A,MATCH(M53,choices!A:A,0)+18), "
",""),IF(M53=INDEX(choices!A:A,MATCH(M53,choices!A:A,0)+19),INDEX(choices!D:D,MATCH(M53,choices!A:A,0)+19),""),IF(M53=INDEX(choices!A:A,MATCH(M53,choices!A:A,0)+19), "
",""),IF(M53=INDEX(choices!A:A,MATCH(M53,choices!A:A,0)+20),INDEX(choices!D:D,MATCH(M53,choices!A:A,0)+20),""),IF(M53=INDEX(choices!A:A,MATCH(M53,choices!A:A,0)+20), "
",""))</f>
        <v xml:space="preserve">1. Yes
2. No
</v>
      </c>
      <c r="E53" s="450" t="s">
        <v>1391</v>
      </c>
      <c r="F53" s="280"/>
      <c r="G53" s="67" t="str">
        <f>CONCATENATE(INDEX(choices!C:C,MATCH(M53,choices!A:A,0)),"
",IF(M53=INDEX(choices!A:A,MATCH(M53,choices!A:A,0)+1),INDEX(choices!C:C,MATCH(M53,choices!A:A,0)+1),""),IF(M53=INDEX(choices!A:A,MATCH(M53,choices!A:A,0)+1), "
",""),IF(M53=INDEX(choices!A:A,MATCH(M53,choices!A:A,0)+2),INDEX(choices!C:C,MATCH(M53,choices!A:A,0)+2),""),IF(M53=INDEX(choices!A:A,MATCH(M53,choices!A:A,0)+2), "
",""),IF(M53=INDEX(choices!A:A,MATCH(M53,choices!A:A,0)+3),INDEX(choices!C:C,MATCH(M53,choices!A:A,0)+3),""),IF(M53=INDEX(choices!A:A,MATCH(M53,choices!A:A,0)+3), "
",""),IF(M53=INDEX(choices!A:A,MATCH(M53,choices!A:A,0)+4),INDEX(choices!C:C,MATCH(M53,choices!A:A,0)+4),""),IF(M53=INDEX(choices!A:A,MATCH(M53,choices!A:A,0)+4), "
",""),IF(M53=INDEX(choices!A:A,MATCH(M53,choices!A:A,0)+5),INDEX(choices!C:C,MATCH(M53,choices!A:A,0)+5),""),IF(M53=INDEX(choices!A:A,MATCH(M53,choices!A:A,0)+5), "
",""),IF(M53=INDEX(choices!A:A,MATCH(M53,choices!A:A,0)+6),INDEX(choices!C:C,MATCH(M53,choices!A:A,0)+6),""),IF(M53=INDEX(choices!A:A,MATCH(M53,choices!A:A,0)+6), "
",""),IF(M53=INDEX(choices!A:A,MATCH(M53,choices!A:A,0)+7),INDEX(choices!C:C,MATCH(M53,choices!A:A,0)+7),""),IF(M53=INDEX(choices!A:A,MATCH(M53,choices!A:A,0)+7), "
",""),IF(M53=INDEX(choices!A:A,MATCH(M53,choices!A:A,0)+8),INDEX(choices!C:C,MATCH(M53,choices!A:A,0)+8),""),IF(M53=INDEX(choices!A:A,MATCH(M53,choices!A:A,0)+8), "
",""),IF(M53=INDEX(choices!A:A,MATCH(M53,choices!A:A,0)+9),INDEX(choices!C:C,MATCH(M53,choices!A:A,0)+9),""),IF(M53=INDEX(choices!A:A,MATCH(M53,choices!A:A,0)+9), "
",""),IF(M53=INDEX(choices!A:A,MATCH(M53,choices!A:A,0)+10),INDEX(choices!C:C,MATCH(M53,choices!A:A,0)+10),""),IF(M53=INDEX(choices!A:A,MATCH(M53,choices!A:A,0)+10), "
",""),IF(M53=INDEX(choices!A:A,MATCH(M53,choices!A:A,0)+11),INDEX(choices!C:C,MATCH(M53,choices!A:A,0)+11),""),IF(M53=INDEX(choices!A:A,MATCH(M53,choices!A:A,0)+11), "
",""),IF(M53=INDEX(choices!A:A,MATCH(M53,choices!A:A,0)+12),INDEX(choices!C:C,MATCH(M53,choices!A:A,0)+12),""),IF(M53=INDEX(choices!A:A,MATCH(M53,choices!A:A,0)+12), "
",""),IF(M53=INDEX(choices!A:A,MATCH(M53,choices!A:A,0)+13),INDEX(choices!C:C,MATCH(M53,choices!A:A,0)+13),""),IF(M53=INDEX(choices!A:A,MATCH(M53,choices!A:A,0)+13), "
",""),IF(M53=INDEX(choices!A:A,MATCH(M53,choices!A:A,0)+14),INDEX(choices!C:C,MATCH(M53,choices!A:A,0)+14),""),IF(M53=INDEX(choices!A:A,MATCH(M53,choices!A:A,0)+14), "
",""),IF(M53=INDEX(choices!A:A,MATCH(M53,choices!A:A,0)+15),INDEX(choices!C:C,MATCH(M53,choices!A:A,0)+15),""),IF(M53=INDEX(choices!A:A,MATCH(M53,choices!A:A,0)+15), "
",""),IF(M53=INDEX(choices!A:A,MATCH(M53,choices!A:A,0)+16),INDEX(choices!C:C,MATCH(M53,choices!A:A,0)+16),""),IF(M53=INDEX(choices!A:A,MATCH(M53,choices!A:A,0)+16), "
",""),IF(M53=INDEX(choices!A:A,MATCH(M53,choices!A:A,0)+17),INDEX(choices!C:C,MATCH(M53,choices!A:A,0)+17),""),IF(M53=INDEX(choices!A:A,MATCH(M53,choices!A:A,0)+17), "
",""),IF(M53=INDEX(choices!A:A,MATCH(M53,choices!A:A,0)+18),INDEX(choices!C:C,MATCH(M53,choices!A:A,0)+18),""),IF(M53=INDEX(choices!A:A,MATCH(M53,choices!A:A,0)+18), "
",""),IF(M53=INDEX(choices!A:A,MATCH(M53,choices!A:A,0)+19),INDEX(choices!C:C,MATCH(M53,choices!A:A,0)+19),""),IF(M53=INDEX(choices!A:A,MATCH(M53,choices!A:A,0)+19), "
",""),IF(M53=INDEX(choices!A:A,MATCH(M53,choices!A:A,0)+20),INDEX(choices!C:C,MATCH(M53,choices!A:A,0)+20),""),IF(M53=INDEX(choices!A:A,MATCH(M53,choices!A:A,0)+20), "
","")," ")</f>
        <v xml:space="preserve">1. نعم
2. لا
 </v>
      </c>
      <c r="H53" s="266">
        <f t="shared" si="5"/>
        <v>3</v>
      </c>
      <c r="I53" s="274" t="str">
        <f t="shared" si="1"/>
        <v>14408_3</v>
      </c>
      <c r="J53" s="267"/>
      <c r="K53" s="267"/>
      <c r="L53" s="267" t="s">
        <v>170</v>
      </c>
      <c r="M53" s="277" t="s">
        <v>17</v>
      </c>
      <c r="N53" s="64" t="str">
        <f t="shared" si="2"/>
        <v>q14408_3</v>
      </c>
      <c r="O53" s="306" t="str">
        <f t="shared" si="3"/>
        <v>14408_3. إرسال أفراد الأسرة لطلب المساعدة من الآخرين؟</v>
      </c>
      <c r="P53" s="257" t="str">
        <f t="shared" si="4"/>
        <v>14408_3. Send household members to beg?</v>
      </c>
      <c r="Q53" s="28"/>
      <c r="R53" s="28"/>
      <c r="S53" s="43" t="str">
        <f>CONCATENATE(K$47, " &amp;&amp; ", '1_0_statistical_identification'!$S$164)</f>
        <v>(selected(data('q14401_1'), '1') || selected(data('q14402_1'), '1') || selected(data('q14403_1'), '1') || selected(data('q14404_1'), '1') ||selected(data('q14405_1'), '1') || selected(data('q14406_1'), '1') || selected(data('q14407_1'), '1') ) &amp;&amp; (data('valid_overall') == 1)</v>
      </c>
      <c r="T53" s="262"/>
      <c r="U53" s="262"/>
      <c r="V53" s="262"/>
      <c r="W53" s="262"/>
      <c r="X53" s="262"/>
      <c r="Y53" s="71" t="b">
        <v>1</v>
      </c>
    </row>
    <row r="54" spans="1:31" s="265" customFormat="1" ht="47.25">
      <c r="A54" s="48" t="str">
        <f t="shared" si="0"/>
        <v>q14408_4</v>
      </c>
      <c r="B54" s="280" t="s">
        <v>925</v>
      </c>
      <c r="C54" s="280"/>
      <c r="D54" s="127" t="str">
        <f>CONCATENATE(INDEX(choices!D:D,MATCH(M54,choices!A:A,0)),"
",IF(M54=INDEX(choices!A:A,MATCH(M54,choices!A:A,0)+1),INDEX(choices!D:D,MATCH(M54,choices!A:A,0)+1),""),IF(M54=INDEX(choices!A:A,MATCH(M54,choices!A:A,0)+1), "
",""),IF(M54=INDEX(choices!A:A,MATCH(M54,choices!A:A,0)+2),INDEX(choices!D:D,MATCH(M54,choices!A:A,0)+2),""),IF(M54=INDEX(choices!A:A,MATCH(M54,choices!A:A,0)+2), "
",""),IF(M54=INDEX(choices!A:A,MATCH(M54,choices!A:A,0)+3),INDEX(choices!D:D,MATCH(M54,choices!A:A,0)+3),""),IF(M54=INDEX(choices!A:A,MATCH(M54,choices!A:A,0)+3), "
",""),IF(M54=INDEX(choices!A:A,MATCH(M54,choices!A:A,0)+4),INDEX(choices!D:D,MATCH(M54,choices!A:A,0)+4),""),IF(M54=INDEX(choices!A:A,MATCH(M54,choices!A:A,0)+4), "
",""),IF(M54=INDEX(choices!A:A,MATCH(M54,choices!A:A,0)+5),INDEX(choices!D:D,MATCH(M54,choices!A:A,0)+5),""),IF(M54=INDEX(choices!A:A,MATCH(M54,choices!A:A,0)+5), "
",""),IF(M54=INDEX(choices!A:A,MATCH(M54,choices!A:A,0)+6),INDEX(choices!D:D,MATCH(M54,choices!A:A,0)+6),""),IF(M54=INDEX(choices!A:A,MATCH(M54,choices!A:A,0)+6), "
",""),IF(M54=INDEX(choices!A:A,MATCH(M54,choices!A:A,0)+7),INDEX(choices!D:D,MATCH(M54,choices!A:A,0)+7),""),IF(M54=INDEX(choices!A:A,MATCH(M54,choices!A:A,0)+7), "
",""),IF(M54=INDEX(choices!A:A,MATCH(M54,choices!A:A,0)+8),INDEX(choices!D:D,MATCH(M54,choices!A:A,0)+8),""),IF(M54=INDEX(choices!A:A,MATCH(M54,choices!A:A,0)+8), "
",""),IF(M54=INDEX(choices!A:A,MATCH(M54,choices!A:A,0)+9),INDEX(choices!D:D,MATCH(M54,choices!A:A,0)+9),""),IF(M54=INDEX(choices!A:A,MATCH(M54,choices!A:A,0)+9), "
",""),IF(M54=INDEX(choices!A:A,MATCH(M54,choices!A:A,0)+10),INDEX(choices!D:D,MATCH(M54,choices!A:A,0)+10),""),IF(M54=INDEX(choices!A:A,MATCH(M54,choices!A:A,0)+10), "
",""),IF(M54=INDEX(choices!A:A,MATCH(M54,choices!A:A,0)+11),INDEX(choices!D:D,MATCH(M54,choices!A:A,0)+11),""),IF(M54=INDEX(choices!A:A,MATCH(M54,choices!A:A,0)+11), "
",""),IF(M54=INDEX(choices!A:A,MATCH(M54,choices!A:A,0)+12),INDEX(choices!D:D,MATCH(M54,choices!A:A,0)+12),""),IF(M54=INDEX(choices!A:A,MATCH(M54,choices!A:A,0)+12), "
",""),IF(M54=INDEX(choices!A:A,MATCH(M54,choices!A:A,0)+13),INDEX(choices!D:D,MATCH(M54,choices!A:A,0)+13),""),IF(M54=INDEX(choices!A:A,MATCH(M54,choices!A:A,0)+13), "
",""),IF(M54=INDEX(choices!A:A,MATCH(M54,choices!A:A,0)+14),INDEX(choices!D:D,MATCH(M54,choices!A:A,0)+14),""),IF(M54=INDEX(choices!A:A,MATCH(M54,choices!A:A,0)+14), "
",""),IF(M54=INDEX(choices!A:A,MATCH(M54,choices!A:A,0)+15),INDEX(choices!D:D,MATCH(M54,choices!A:A,0)+15),""),IF(M54=INDEX(choices!A:A,MATCH(M54,choices!A:A,0)+15), "
",""),IF(M54=INDEX(choices!A:A,MATCH(M54,choices!A:A,0)+16),INDEX(choices!D:D,MATCH(M54,choices!A:A,0)+16),""),IF(M54=INDEX(choices!A:A,MATCH(M54,choices!A:A,0)+16), "
",""),IF(M54=INDEX(choices!A:A,MATCH(M54,choices!A:A,0)+17),INDEX(choices!D:D,MATCH(M54,choices!A:A,0)+17),""),IF(M54=INDEX(choices!A:A,MATCH(M54,choices!A:A,0)+17), "
",""),IF(M54=INDEX(choices!A:A,MATCH(M54,choices!A:A,0)+18),INDEX(choices!D:D,MATCH(M54,choices!A:A,0)+18),""),IF(M54=INDEX(choices!A:A,MATCH(M54,choices!A:A,0)+18), "
",""),IF(M54=INDEX(choices!A:A,MATCH(M54,choices!A:A,0)+19),INDEX(choices!D:D,MATCH(M54,choices!A:A,0)+19),""),IF(M54=INDEX(choices!A:A,MATCH(M54,choices!A:A,0)+19), "
",""),IF(M54=INDEX(choices!A:A,MATCH(M54,choices!A:A,0)+20),INDEX(choices!D:D,MATCH(M54,choices!A:A,0)+20),""),IF(M54=INDEX(choices!A:A,MATCH(M54,choices!A:A,0)+20), "
",""))</f>
        <v xml:space="preserve">1. Yes
2. No
</v>
      </c>
      <c r="E54" s="366" t="s">
        <v>1227</v>
      </c>
      <c r="F54" s="280"/>
      <c r="G54" s="67" t="str">
        <f>CONCATENATE(INDEX(choices!C:C,MATCH(M54,choices!A:A,0)),"
",IF(M54=INDEX(choices!A:A,MATCH(M54,choices!A:A,0)+1),INDEX(choices!C:C,MATCH(M54,choices!A:A,0)+1),""),IF(M54=INDEX(choices!A:A,MATCH(M54,choices!A:A,0)+1), "
",""),IF(M54=INDEX(choices!A:A,MATCH(M54,choices!A:A,0)+2),INDEX(choices!C:C,MATCH(M54,choices!A:A,0)+2),""),IF(M54=INDEX(choices!A:A,MATCH(M54,choices!A:A,0)+2), "
",""),IF(M54=INDEX(choices!A:A,MATCH(M54,choices!A:A,0)+3),INDEX(choices!C:C,MATCH(M54,choices!A:A,0)+3),""),IF(M54=INDEX(choices!A:A,MATCH(M54,choices!A:A,0)+3), "
",""),IF(M54=INDEX(choices!A:A,MATCH(M54,choices!A:A,0)+4),INDEX(choices!C:C,MATCH(M54,choices!A:A,0)+4),""),IF(M54=INDEX(choices!A:A,MATCH(M54,choices!A:A,0)+4), "
",""),IF(M54=INDEX(choices!A:A,MATCH(M54,choices!A:A,0)+5),INDEX(choices!C:C,MATCH(M54,choices!A:A,0)+5),""),IF(M54=INDEX(choices!A:A,MATCH(M54,choices!A:A,0)+5), "
",""),IF(M54=INDEX(choices!A:A,MATCH(M54,choices!A:A,0)+6),INDEX(choices!C:C,MATCH(M54,choices!A:A,0)+6),""),IF(M54=INDEX(choices!A:A,MATCH(M54,choices!A:A,0)+6), "
",""),IF(M54=INDEX(choices!A:A,MATCH(M54,choices!A:A,0)+7),INDEX(choices!C:C,MATCH(M54,choices!A:A,0)+7),""),IF(M54=INDEX(choices!A:A,MATCH(M54,choices!A:A,0)+7), "
",""),IF(M54=INDEX(choices!A:A,MATCH(M54,choices!A:A,0)+8),INDEX(choices!C:C,MATCH(M54,choices!A:A,0)+8),""),IF(M54=INDEX(choices!A:A,MATCH(M54,choices!A:A,0)+8), "
",""),IF(M54=INDEX(choices!A:A,MATCH(M54,choices!A:A,0)+9),INDEX(choices!C:C,MATCH(M54,choices!A:A,0)+9),""),IF(M54=INDEX(choices!A:A,MATCH(M54,choices!A:A,0)+9), "
",""),IF(M54=INDEX(choices!A:A,MATCH(M54,choices!A:A,0)+10),INDEX(choices!C:C,MATCH(M54,choices!A:A,0)+10),""),IF(M54=INDEX(choices!A:A,MATCH(M54,choices!A:A,0)+10), "
",""),IF(M54=INDEX(choices!A:A,MATCH(M54,choices!A:A,0)+11),INDEX(choices!C:C,MATCH(M54,choices!A:A,0)+11),""),IF(M54=INDEX(choices!A:A,MATCH(M54,choices!A:A,0)+11), "
",""),IF(M54=INDEX(choices!A:A,MATCH(M54,choices!A:A,0)+12),INDEX(choices!C:C,MATCH(M54,choices!A:A,0)+12),""),IF(M54=INDEX(choices!A:A,MATCH(M54,choices!A:A,0)+12), "
",""),IF(M54=INDEX(choices!A:A,MATCH(M54,choices!A:A,0)+13),INDEX(choices!C:C,MATCH(M54,choices!A:A,0)+13),""),IF(M54=INDEX(choices!A:A,MATCH(M54,choices!A:A,0)+13), "
",""),IF(M54=INDEX(choices!A:A,MATCH(M54,choices!A:A,0)+14),INDEX(choices!C:C,MATCH(M54,choices!A:A,0)+14),""),IF(M54=INDEX(choices!A:A,MATCH(M54,choices!A:A,0)+14), "
",""),IF(M54=INDEX(choices!A:A,MATCH(M54,choices!A:A,0)+15),INDEX(choices!C:C,MATCH(M54,choices!A:A,0)+15),""),IF(M54=INDEX(choices!A:A,MATCH(M54,choices!A:A,0)+15), "
",""),IF(M54=INDEX(choices!A:A,MATCH(M54,choices!A:A,0)+16),INDEX(choices!C:C,MATCH(M54,choices!A:A,0)+16),""),IF(M54=INDEX(choices!A:A,MATCH(M54,choices!A:A,0)+16), "
",""),IF(M54=INDEX(choices!A:A,MATCH(M54,choices!A:A,0)+17),INDEX(choices!C:C,MATCH(M54,choices!A:A,0)+17),""),IF(M54=INDEX(choices!A:A,MATCH(M54,choices!A:A,0)+17), "
",""),IF(M54=INDEX(choices!A:A,MATCH(M54,choices!A:A,0)+18),INDEX(choices!C:C,MATCH(M54,choices!A:A,0)+18),""),IF(M54=INDEX(choices!A:A,MATCH(M54,choices!A:A,0)+18), "
",""),IF(M54=INDEX(choices!A:A,MATCH(M54,choices!A:A,0)+19),INDEX(choices!C:C,MATCH(M54,choices!A:A,0)+19),""),IF(M54=INDEX(choices!A:A,MATCH(M54,choices!A:A,0)+19), "
",""),IF(M54=INDEX(choices!A:A,MATCH(M54,choices!A:A,0)+20),INDEX(choices!C:C,MATCH(M54,choices!A:A,0)+20),""),IF(M54=INDEX(choices!A:A,MATCH(M54,choices!A:A,0)+20), "
","")," ")</f>
        <v xml:space="preserve">1. نعم
2. لا
 </v>
      </c>
      <c r="H54" s="266">
        <f t="shared" si="5"/>
        <v>4</v>
      </c>
      <c r="I54" s="274" t="str">
        <f t="shared" si="1"/>
        <v>14408_4</v>
      </c>
      <c r="J54" s="267"/>
      <c r="K54" s="267"/>
      <c r="L54" s="267" t="s">
        <v>170</v>
      </c>
      <c r="M54" s="277" t="s">
        <v>17</v>
      </c>
      <c r="N54" s="64" t="str">
        <f t="shared" si="2"/>
        <v>q14408_4</v>
      </c>
      <c r="O54" s="306" t="str">
        <f t="shared" si="3"/>
        <v>14408_4. استهلاك البذور المخزنة للموسم المقبل؟</v>
      </c>
      <c r="P54" s="257" t="str">
        <f t="shared" si="4"/>
        <v>14408_4. consumed seed stock held for next season?</v>
      </c>
      <c r="Q54" s="28"/>
      <c r="R54" s="28"/>
      <c r="S54" s="43" t="str">
        <f>CONCATENATE(K$47, " &amp;&amp; ", '1_0_statistical_identification'!$S$164)</f>
        <v>(selected(data('q14401_1'), '1') || selected(data('q14402_1'), '1') || selected(data('q14403_1'), '1') || selected(data('q14404_1'), '1') ||selected(data('q14405_1'), '1') || selected(data('q14406_1'), '1') || selected(data('q14407_1'), '1') ) &amp;&amp; (data('valid_overall') == 1)</v>
      </c>
      <c r="T54" s="262"/>
      <c r="U54" s="262"/>
      <c r="V54" s="262"/>
      <c r="W54" s="262"/>
      <c r="X54" s="262"/>
      <c r="Y54" s="71" t="b">
        <v>1</v>
      </c>
    </row>
    <row r="55" spans="1:31" s="265" customFormat="1" ht="45">
      <c r="A55" s="48" t="str">
        <f t="shared" si="0"/>
        <v>q14408_5</v>
      </c>
      <c r="B55" s="280" t="s">
        <v>926</v>
      </c>
      <c r="C55" s="280"/>
      <c r="D55" s="127" t="str">
        <f>CONCATENATE(INDEX(choices!D:D,MATCH(M55,choices!A:A,0)),"
",IF(M55=INDEX(choices!A:A,MATCH(M55,choices!A:A,0)+1),INDEX(choices!D:D,MATCH(M55,choices!A:A,0)+1),""),IF(M55=INDEX(choices!A:A,MATCH(M55,choices!A:A,0)+1), "
",""),IF(M55=INDEX(choices!A:A,MATCH(M55,choices!A:A,0)+2),INDEX(choices!D:D,MATCH(M55,choices!A:A,0)+2),""),IF(M55=INDEX(choices!A:A,MATCH(M55,choices!A:A,0)+2), "
",""),IF(M55=INDEX(choices!A:A,MATCH(M55,choices!A:A,0)+3),INDEX(choices!D:D,MATCH(M55,choices!A:A,0)+3),""),IF(M55=INDEX(choices!A:A,MATCH(M55,choices!A:A,0)+3), "
",""),IF(M55=INDEX(choices!A:A,MATCH(M55,choices!A:A,0)+4),INDEX(choices!D:D,MATCH(M55,choices!A:A,0)+4),""),IF(M55=INDEX(choices!A:A,MATCH(M55,choices!A:A,0)+4), "
",""),IF(M55=INDEX(choices!A:A,MATCH(M55,choices!A:A,0)+5),INDEX(choices!D:D,MATCH(M55,choices!A:A,0)+5),""),IF(M55=INDEX(choices!A:A,MATCH(M55,choices!A:A,0)+5), "
",""),IF(M55=INDEX(choices!A:A,MATCH(M55,choices!A:A,0)+6),INDEX(choices!D:D,MATCH(M55,choices!A:A,0)+6),""),IF(M55=INDEX(choices!A:A,MATCH(M55,choices!A:A,0)+6), "
",""),IF(M55=INDEX(choices!A:A,MATCH(M55,choices!A:A,0)+7),INDEX(choices!D:D,MATCH(M55,choices!A:A,0)+7),""),IF(M55=INDEX(choices!A:A,MATCH(M55,choices!A:A,0)+7), "
",""),IF(M55=INDEX(choices!A:A,MATCH(M55,choices!A:A,0)+8),INDEX(choices!D:D,MATCH(M55,choices!A:A,0)+8),""),IF(M55=INDEX(choices!A:A,MATCH(M55,choices!A:A,0)+8), "
",""),IF(M55=INDEX(choices!A:A,MATCH(M55,choices!A:A,0)+9),INDEX(choices!D:D,MATCH(M55,choices!A:A,0)+9),""),IF(M55=INDEX(choices!A:A,MATCH(M55,choices!A:A,0)+9), "
",""),IF(M55=INDEX(choices!A:A,MATCH(M55,choices!A:A,0)+10),INDEX(choices!D:D,MATCH(M55,choices!A:A,0)+10),""),IF(M55=INDEX(choices!A:A,MATCH(M55,choices!A:A,0)+10), "
",""),IF(M55=INDEX(choices!A:A,MATCH(M55,choices!A:A,0)+11),INDEX(choices!D:D,MATCH(M55,choices!A:A,0)+11),""),IF(M55=INDEX(choices!A:A,MATCH(M55,choices!A:A,0)+11), "
",""),IF(M55=INDEX(choices!A:A,MATCH(M55,choices!A:A,0)+12),INDEX(choices!D:D,MATCH(M55,choices!A:A,0)+12),""),IF(M55=INDEX(choices!A:A,MATCH(M55,choices!A:A,0)+12), "
",""),IF(M55=INDEX(choices!A:A,MATCH(M55,choices!A:A,0)+13),INDEX(choices!D:D,MATCH(M55,choices!A:A,0)+13),""),IF(M55=INDEX(choices!A:A,MATCH(M55,choices!A:A,0)+13), "
",""),IF(M55=INDEX(choices!A:A,MATCH(M55,choices!A:A,0)+14),INDEX(choices!D:D,MATCH(M55,choices!A:A,0)+14),""),IF(M55=INDEX(choices!A:A,MATCH(M55,choices!A:A,0)+14), "
",""),IF(M55=INDEX(choices!A:A,MATCH(M55,choices!A:A,0)+15),INDEX(choices!D:D,MATCH(M55,choices!A:A,0)+15),""),IF(M55=INDEX(choices!A:A,MATCH(M55,choices!A:A,0)+15), "
",""),IF(M55=INDEX(choices!A:A,MATCH(M55,choices!A:A,0)+16),INDEX(choices!D:D,MATCH(M55,choices!A:A,0)+16),""),IF(M55=INDEX(choices!A:A,MATCH(M55,choices!A:A,0)+16), "
",""),IF(M55=INDEX(choices!A:A,MATCH(M55,choices!A:A,0)+17),INDEX(choices!D:D,MATCH(M55,choices!A:A,0)+17),""),IF(M55=INDEX(choices!A:A,MATCH(M55,choices!A:A,0)+17), "
",""),IF(M55=INDEX(choices!A:A,MATCH(M55,choices!A:A,0)+18),INDEX(choices!D:D,MATCH(M55,choices!A:A,0)+18),""),IF(M55=INDEX(choices!A:A,MATCH(M55,choices!A:A,0)+18), "
",""),IF(M55=INDEX(choices!A:A,MATCH(M55,choices!A:A,0)+19),INDEX(choices!D:D,MATCH(M55,choices!A:A,0)+19),""),IF(M55=INDEX(choices!A:A,MATCH(M55,choices!A:A,0)+19), "
",""),IF(M55=INDEX(choices!A:A,MATCH(M55,choices!A:A,0)+20),INDEX(choices!D:D,MATCH(M55,choices!A:A,0)+20),""),IF(M55=INDEX(choices!A:A,MATCH(M55,choices!A:A,0)+20), "
",""))</f>
        <v xml:space="preserve">1. Yes
2. No
</v>
      </c>
      <c r="E55" s="366" t="s">
        <v>1228</v>
      </c>
      <c r="F55" s="280"/>
      <c r="G55" s="67" t="str">
        <f>CONCATENATE(INDEX(choices!C:C,MATCH(M55,choices!A:A,0)),"
",IF(M55=INDEX(choices!A:A,MATCH(M55,choices!A:A,0)+1),INDEX(choices!C:C,MATCH(M55,choices!A:A,0)+1),""),IF(M55=INDEX(choices!A:A,MATCH(M55,choices!A:A,0)+1), "
",""),IF(M55=INDEX(choices!A:A,MATCH(M55,choices!A:A,0)+2),INDEX(choices!C:C,MATCH(M55,choices!A:A,0)+2),""),IF(M55=INDEX(choices!A:A,MATCH(M55,choices!A:A,0)+2), "
",""),IF(M55=INDEX(choices!A:A,MATCH(M55,choices!A:A,0)+3),INDEX(choices!C:C,MATCH(M55,choices!A:A,0)+3),""),IF(M55=INDEX(choices!A:A,MATCH(M55,choices!A:A,0)+3), "
",""),IF(M55=INDEX(choices!A:A,MATCH(M55,choices!A:A,0)+4),INDEX(choices!C:C,MATCH(M55,choices!A:A,0)+4),""),IF(M55=INDEX(choices!A:A,MATCH(M55,choices!A:A,0)+4), "
",""),IF(M55=INDEX(choices!A:A,MATCH(M55,choices!A:A,0)+5),INDEX(choices!C:C,MATCH(M55,choices!A:A,0)+5),""),IF(M55=INDEX(choices!A:A,MATCH(M55,choices!A:A,0)+5), "
",""),IF(M55=INDEX(choices!A:A,MATCH(M55,choices!A:A,0)+6),INDEX(choices!C:C,MATCH(M55,choices!A:A,0)+6),""),IF(M55=INDEX(choices!A:A,MATCH(M55,choices!A:A,0)+6), "
",""),IF(M55=INDEX(choices!A:A,MATCH(M55,choices!A:A,0)+7),INDEX(choices!C:C,MATCH(M55,choices!A:A,0)+7),""),IF(M55=INDEX(choices!A:A,MATCH(M55,choices!A:A,0)+7), "
",""),IF(M55=INDEX(choices!A:A,MATCH(M55,choices!A:A,0)+8),INDEX(choices!C:C,MATCH(M55,choices!A:A,0)+8),""),IF(M55=INDEX(choices!A:A,MATCH(M55,choices!A:A,0)+8), "
",""),IF(M55=INDEX(choices!A:A,MATCH(M55,choices!A:A,0)+9),INDEX(choices!C:C,MATCH(M55,choices!A:A,0)+9),""),IF(M55=INDEX(choices!A:A,MATCH(M55,choices!A:A,0)+9), "
",""),IF(M55=INDEX(choices!A:A,MATCH(M55,choices!A:A,0)+10),INDEX(choices!C:C,MATCH(M55,choices!A:A,0)+10),""),IF(M55=INDEX(choices!A:A,MATCH(M55,choices!A:A,0)+10), "
",""),IF(M55=INDEX(choices!A:A,MATCH(M55,choices!A:A,0)+11),INDEX(choices!C:C,MATCH(M55,choices!A:A,0)+11),""),IF(M55=INDEX(choices!A:A,MATCH(M55,choices!A:A,0)+11), "
",""),IF(M55=INDEX(choices!A:A,MATCH(M55,choices!A:A,0)+12),INDEX(choices!C:C,MATCH(M55,choices!A:A,0)+12),""),IF(M55=INDEX(choices!A:A,MATCH(M55,choices!A:A,0)+12), "
",""),IF(M55=INDEX(choices!A:A,MATCH(M55,choices!A:A,0)+13),INDEX(choices!C:C,MATCH(M55,choices!A:A,0)+13),""),IF(M55=INDEX(choices!A:A,MATCH(M55,choices!A:A,0)+13), "
",""),IF(M55=INDEX(choices!A:A,MATCH(M55,choices!A:A,0)+14),INDEX(choices!C:C,MATCH(M55,choices!A:A,0)+14),""),IF(M55=INDEX(choices!A:A,MATCH(M55,choices!A:A,0)+14), "
",""),IF(M55=INDEX(choices!A:A,MATCH(M55,choices!A:A,0)+15),INDEX(choices!C:C,MATCH(M55,choices!A:A,0)+15),""),IF(M55=INDEX(choices!A:A,MATCH(M55,choices!A:A,0)+15), "
",""),IF(M55=INDEX(choices!A:A,MATCH(M55,choices!A:A,0)+16),INDEX(choices!C:C,MATCH(M55,choices!A:A,0)+16),""),IF(M55=INDEX(choices!A:A,MATCH(M55,choices!A:A,0)+16), "
",""),IF(M55=INDEX(choices!A:A,MATCH(M55,choices!A:A,0)+17),INDEX(choices!C:C,MATCH(M55,choices!A:A,0)+17),""),IF(M55=INDEX(choices!A:A,MATCH(M55,choices!A:A,0)+17), "
",""),IF(M55=INDEX(choices!A:A,MATCH(M55,choices!A:A,0)+18),INDEX(choices!C:C,MATCH(M55,choices!A:A,0)+18),""),IF(M55=INDEX(choices!A:A,MATCH(M55,choices!A:A,0)+18), "
",""),IF(M55=INDEX(choices!A:A,MATCH(M55,choices!A:A,0)+19),INDEX(choices!C:C,MATCH(M55,choices!A:A,0)+19),""),IF(M55=INDEX(choices!A:A,MATCH(M55,choices!A:A,0)+19), "
",""),IF(M55=INDEX(choices!A:A,MATCH(M55,choices!A:A,0)+20),INDEX(choices!C:C,MATCH(M55,choices!A:A,0)+20),""),IF(M55=INDEX(choices!A:A,MATCH(M55,choices!A:A,0)+20), "
","")," ")</f>
        <v xml:space="preserve">1. نعم
2. لا
 </v>
      </c>
      <c r="H55" s="266">
        <f t="shared" si="5"/>
        <v>5</v>
      </c>
      <c r="I55" s="274" t="str">
        <f t="shared" si="1"/>
        <v>14408_5</v>
      </c>
      <c r="J55" s="267"/>
      <c r="K55" s="267"/>
      <c r="L55" s="267" t="s">
        <v>170</v>
      </c>
      <c r="M55" s="277" t="s">
        <v>17</v>
      </c>
      <c r="N55" s="64" t="str">
        <f t="shared" si="2"/>
        <v>q14408_5</v>
      </c>
      <c r="O55" s="306" t="str">
        <f t="shared" si="3"/>
        <v>14408_5. الانفاق من المدخرات؟</v>
      </c>
      <c r="P55" s="257" t="str">
        <f t="shared" si="4"/>
        <v>14408_5. spent savings?</v>
      </c>
      <c r="Q55" s="28"/>
      <c r="R55" s="28"/>
      <c r="S55" s="43" t="str">
        <f>CONCATENATE(K$47, " &amp;&amp; ", '1_0_statistical_identification'!$S$164)</f>
        <v>(selected(data('q14401_1'), '1') || selected(data('q14402_1'), '1') || selected(data('q14403_1'), '1') || selected(data('q14404_1'), '1') ||selected(data('q14405_1'), '1') || selected(data('q14406_1'), '1') || selected(data('q14407_1'), '1') ) &amp;&amp; (data('valid_overall') == 1)</v>
      </c>
      <c r="T55" s="262"/>
      <c r="U55" s="262"/>
      <c r="V55" s="262"/>
      <c r="W55" s="262"/>
      <c r="X55" s="262"/>
      <c r="Y55" s="71" t="b">
        <v>1</v>
      </c>
    </row>
    <row r="56" spans="1:31" s="265" customFormat="1" ht="47.25">
      <c r="A56" s="48" t="str">
        <f t="shared" si="0"/>
        <v>q14408_6</v>
      </c>
      <c r="B56" s="280" t="s">
        <v>927</v>
      </c>
      <c r="C56" s="280"/>
      <c r="D56" s="127" t="str">
        <f>CONCATENATE(INDEX(choices!D:D,MATCH(M56,choices!A:A,0)),"
",IF(M56=INDEX(choices!A:A,MATCH(M56,choices!A:A,0)+1),INDEX(choices!D:D,MATCH(M56,choices!A:A,0)+1),""),IF(M56=INDEX(choices!A:A,MATCH(M56,choices!A:A,0)+1), "
",""),IF(M56=INDEX(choices!A:A,MATCH(M56,choices!A:A,0)+2),INDEX(choices!D:D,MATCH(M56,choices!A:A,0)+2),""),IF(M56=INDEX(choices!A:A,MATCH(M56,choices!A:A,0)+2), "
",""),IF(M56=INDEX(choices!A:A,MATCH(M56,choices!A:A,0)+3),INDEX(choices!D:D,MATCH(M56,choices!A:A,0)+3),""),IF(M56=INDEX(choices!A:A,MATCH(M56,choices!A:A,0)+3), "
",""),IF(M56=INDEX(choices!A:A,MATCH(M56,choices!A:A,0)+4),INDEX(choices!D:D,MATCH(M56,choices!A:A,0)+4),""),IF(M56=INDEX(choices!A:A,MATCH(M56,choices!A:A,0)+4), "
",""),IF(M56=INDEX(choices!A:A,MATCH(M56,choices!A:A,0)+5),INDEX(choices!D:D,MATCH(M56,choices!A:A,0)+5),""),IF(M56=INDEX(choices!A:A,MATCH(M56,choices!A:A,0)+5), "
",""),IF(M56=INDEX(choices!A:A,MATCH(M56,choices!A:A,0)+6),INDEX(choices!D:D,MATCH(M56,choices!A:A,0)+6),""),IF(M56=INDEX(choices!A:A,MATCH(M56,choices!A:A,0)+6), "
",""),IF(M56=INDEX(choices!A:A,MATCH(M56,choices!A:A,0)+7),INDEX(choices!D:D,MATCH(M56,choices!A:A,0)+7),""),IF(M56=INDEX(choices!A:A,MATCH(M56,choices!A:A,0)+7), "
",""),IF(M56=INDEX(choices!A:A,MATCH(M56,choices!A:A,0)+8),INDEX(choices!D:D,MATCH(M56,choices!A:A,0)+8),""),IF(M56=INDEX(choices!A:A,MATCH(M56,choices!A:A,0)+8), "
",""),IF(M56=INDEX(choices!A:A,MATCH(M56,choices!A:A,0)+9),INDEX(choices!D:D,MATCH(M56,choices!A:A,0)+9),""),IF(M56=INDEX(choices!A:A,MATCH(M56,choices!A:A,0)+9), "
",""),IF(M56=INDEX(choices!A:A,MATCH(M56,choices!A:A,0)+10),INDEX(choices!D:D,MATCH(M56,choices!A:A,0)+10),""),IF(M56=INDEX(choices!A:A,MATCH(M56,choices!A:A,0)+10), "
",""),IF(M56=INDEX(choices!A:A,MATCH(M56,choices!A:A,0)+11),INDEX(choices!D:D,MATCH(M56,choices!A:A,0)+11),""),IF(M56=INDEX(choices!A:A,MATCH(M56,choices!A:A,0)+11), "
",""),IF(M56=INDEX(choices!A:A,MATCH(M56,choices!A:A,0)+12),INDEX(choices!D:D,MATCH(M56,choices!A:A,0)+12),""),IF(M56=INDEX(choices!A:A,MATCH(M56,choices!A:A,0)+12), "
",""),IF(M56=INDEX(choices!A:A,MATCH(M56,choices!A:A,0)+13),INDEX(choices!D:D,MATCH(M56,choices!A:A,0)+13),""),IF(M56=INDEX(choices!A:A,MATCH(M56,choices!A:A,0)+13), "
",""),IF(M56=INDEX(choices!A:A,MATCH(M56,choices!A:A,0)+14),INDEX(choices!D:D,MATCH(M56,choices!A:A,0)+14),""),IF(M56=INDEX(choices!A:A,MATCH(M56,choices!A:A,0)+14), "
",""),IF(M56=INDEX(choices!A:A,MATCH(M56,choices!A:A,0)+15),INDEX(choices!D:D,MATCH(M56,choices!A:A,0)+15),""),IF(M56=INDEX(choices!A:A,MATCH(M56,choices!A:A,0)+15), "
",""),IF(M56=INDEX(choices!A:A,MATCH(M56,choices!A:A,0)+16),INDEX(choices!D:D,MATCH(M56,choices!A:A,0)+16),""),IF(M56=INDEX(choices!A:A,MATCH(M56,choices!A:A,0)+16), "
",""),IF(M56=INDEX(choices!A:A,MATCH(M56,choices!A:A,0)+17),INDEX(choices!D:D,MATCH(M56,choices!A:A,0)+17),""),IF(M56=INDEX(choices!A:A,MATCH(M56,choices!A:A,0)+17), "
",""),IF(M56=INDEX(choices!A:A,MATCH(M56,choices!A:A,0)+18),INDEX(choices!D:D,MATCH(M56,choices!A:A,0)+18),""),IF(M56=INDEX(choices!A:A,MATCH(M56,choices!A:A,0)+18), "
",""),IF(M56=INDEX(choices!A:A,MATCH(M56,choices!A:A,0)+19),INDEX(choices!D:D,MATCH(M56,choices!A:A,0)+19),""),IF(M56=INDEX(choices!A:A,MATCH(M56,choices!A:A,0)+19), "
",""),IF(M56=INDEX(choices!A:A,MATCH(M56,choices!A:A,0)+20),INDEX(choices!D:D,MATCH(M56,choices!A:A,0)+20),""),IF(M56=INDEX(choices!A:A,MATCH(M56,choices!A:A,0)+20), "
",""))</f>
        <v xml:space="preserve">1. Yes
2. No
</v>
      </c>
      <c r="E56" s="366" t="s">
        <v>1229</v>
      </c>
      <c r="F56" s="280"/>
      <c r="G56" s="67" t="str">
        <f>CONCATENATE(INDEX(choices!C:C,MATCH(M56,choices!A:A,0)),"
",IF(M56=INDEX(choices!A:A,MATCH(M56,choices!A:A,0)+1),INDEX(choices!C:C,MATCH(M56,choices!A:A,0)+1),""),IF(M56=INDEX(choices!A:A,MATCH(M56,choices!A:A,0)+1), "
",""),IF(M56=INDEX(choices!A:A,MATCH(M56,choices!A:A,0)+2),INDEX(choices!C:C,MATCH(M56,choices!A:A,0)+2),""),IF(M56=INDEX(choices!A:A,MATCH(M56,choices!A:A,0)+2), "
",""),IF(M56=INDEX(choices!A:A,MATCH(M56,choices!A:A,0)+3),INDEX(choices!C:C,MATCH(M56,choices!A:A,0)+3),""),IF(M56=INDEX(choices!A:A,MATCH(M56,choices!A:A,0)+3), "
",""),IF(M56=INDEX(choices!A:A,MATCH(M56,choices!A:A,0)+4),INDEX(choices!C:C,MATCH(M56,choices!A:A,0)+4),""),IF(M56=INDEX(choices!A:A,MATCH(M56,choices!A:A,0)+4), "
",""),IF(M56=INDEX(choices!A:A,MATCH(M56,choices!A:A,0)+5),INDEX(choices!C:C,MATCH(M56,choices!A:A,0)+5),""),IF(M56=INDEX(choices!A:A,MATCH(M56,choices!A:A,0)+5), "
",""),IF(M56=INDEX(choices!A:A,MATCH(M56,choices!A:A,0)+6),INDEX(choices!C:C,MATCH(M56,choices!A:A,0)+6),""),IF(M56=INDEX(choices!A:A,MATCH(M56,choices!A:A,0)+6), "
",""),IF(M56=INDEX(choices!A:A,MATCH(M56,choices!A:A,0)+7),INDEX(choices!C:C,MATCH(M56,choices!A:A,0)+7),""),IF(M56=INDEX(choices!A:A,MATCH(M56,choices!A:A,0)+7), "
",""),IF(M56=INDEX(choices!A:A,MATCH(M56,choices!A:A,0)+8),INDEX(choices!C:C,MATCH(M56,choices!A:A,0)+8),""),IF(M56=INDEX(choices!A:A,MATCH(M56,choices!A:A,0)+8), "
",""),IF(M56=INDEX(choices!A:A,MATCH(M56,choices!A:A,0)+9),INDEX(choices!C:C,MATCH(M56,choices!A:A,0)+9),""),IF(M56=INDEX(choices!A:A,MATCH(M56,choices!A:A,0)+9), "
",""),IF(M56=INDEX(choices!A:A,MATCH(M56,choices!A:A,0)+10),INDEX(choices!C:C,MATCH(M56,choices!A:A,0)+10),""),IF(M56=INDEX(choices!A:A,MATCH(M56,choices!A:A,0)+10), "
",""),IF(M56=INDEX(choices!A:A,MATCH(M56,choices!A:A,0)+11),INDEX(choices!C:C,MATCH(M56,choices!A:A,0)+11),""),IF(M56=INDEX(choices!A:A,MATCH(M56,choices!A:A,0)+11), "
",""),IF(M56=INDEX(choices!A:A,MATCH(M56,choices!A:A,0)+12),INDEX(choices!C:C,MATCH(M56,choices!A:A,0)+12),""),IF(M56=INDEX(choices!A:A,MATCH(M56,choices!A:A,0)+12), "
",""),IF(M56=INDEX(choices!A:A,MATCH(M56,choices!A:A,0)+13),INDEX(choices!C:C,MATCH(M56,choices!A:A,0)+13),""),IF(M56=INDEX(choices!A:A,MATCH(M56,choices!A:A,0)+13), "
",""),IF(M56=INDEX(choices!A:A,MATCH(M56,choices!A:A,0)+14),INDEX(choices!C:C,MATCH(M56,choices!A:A,0)+14),""),IF(M56=INDEX(choices!A:A,MATCH(M56,choices!A:A,0)+14), "
",""),IF(M56=INDEX(choices!A:A,MATCH(M56,choices!A:A,0)+15),INDEX(choices!C:C,MATCH(M56,choices!A:A,0)+15),""),IF(M56=INDEX(choices!A:A,MATCH(M56,choices!A:A,0)+15), "
",""),IF(M56=INDEX(choices!A:A,MATCH(M56,choices!A:A,0)+16),INDEX(choices!C:C,MATCH(M56,choices!A:A,0)+16),""),IF(M56=INDEX(choices!A:A,MATCH(M56,choices!A:A,0)+16), "
",""),IF(M56=INDEX(choices!A:A,MATCH(M56,choices!A:A,0)+17),INDEX(choices!C:C,MATCH(M56,choices!A:A,0)+17),""),IF(M56=INDEX(choices!A:A,MATCH(M56,choices!A:A,0)+17), "
",""),IF(M56=INDEX(choices!A:A,MATCH(M56,choices!A:A,0)+18),INDEX(choices!C:C,MATCH(M56,choices!A:A,0)+18),""),IF(M56=INDEX(choices!A:A,MATCH(M56,choices!A:A,0)+18), "
",""),IF(M56=INDEX(choices!A:A,MATCH(M56,choices!A:A,0)+19),INDEX(choices!C:C,MATCH(M56,choices!A:A,0)+19),""),IF(M56=INDEX(choices!A:A,MATCH(M56,choices!A:A,0)+19), "
",""),IF(M56=INDEX(choices!A:A,MATCH(M56,choices!A:A,0)+20),INDEX(choices!C:C,MATCH(M56,choices!A:A,0)+20),""),IF(M56=INDEX(choices!A:A,MATCH(M56,choices!A:A,0)+20), "
","")," ")</f>
        <v xml:space="preserve">1. نعم
2. لا
 </v>
      </c>
      <c r="H56" s="266">
        <f t="shared" si="5"/>
        <v>6</v>
      </c>
      <c r="I56" s="274" t="str">
        <f t="shared" si="1"/>
        <v>14408_6</v>
      </c>
      <c r="J56" s="267"/>
      <c r="K56" s="267"/>
      <c r="L56" s="267" t="s">
        <v>170</v>
      </c>
      <c r="M56" s="277" t="s">
        <v>17</v>
      </c>
      <c r="N56" s="64" t="str">
        <f t="shared" si="2"/>
        <v>q14408_6</v>
      </c>
      <c r="O56" s="306" t="str">
        <f t="shared" si="3"/>
        <v>14408_6. بيع أو استهلك الماشية؟</v>
      </c>
      <c r="P56" s="257" t="str">
        <f t="shared" si="4"/>
        <v>14408_6. Sold or consumed livestock?</v>
      </c>
      <c r="Q56" s="28"/>
      <c r="R56" s="28"/>
      <c r="S56" s="43" t="str">
        <f>CONCATENATE(K$47, " &amp;&amp; ", '1_0_statistical_identification'!$S$164)</f>
        <v>(selected(data('q14401_1'), '1') || selected(data('q14402_1'), '1') || selected(data('q14403_1'), '1') || selected(data('q14404_1'), '1') ||selected(data('q14405_1'), '1') || selected(data('q14406_1'), '1') || selected(data('q14407_1'), '1') ) &amp;&amp; (data('valid_overall') == 1)</v>
      </c>
      <c r="T56" s="262"/>
      <c r="U56" s="262"/>
      <c r="V56" s="262"/>
      <c r="W56" s="262"/>
      <c r="X56" s="262"/>
      <c r="Y56" s="71" t="b">
        <v>1</v>
      </c>
    </row>
    <row r="57" spans="1:31" s="265" customFormat="1" ht="63">
      <c r="A57" s="48" t="str">
        <f t="shared" si="0"/>
        <v>q14408_7</v>
      </c>
      <c r="B57" s="280" t="s">
        <v>1204</v>
      </c>
      <c r="C57" s="280"/>
      <c r="D57" s="127" t="str">
        <f>CONCATENATE(INDEX(choices!D:D,MATCH(M57,choices!A:A,0)),"
",IF(M57=INDEX(choices!A:A,MATCH(M57,choices!A:A,0)+1),INDEX(choices!D:D,MATCH(M57,choices!A:A,0)+1),""),IF(M57=INDEX(choices!A:A,MATCH(M57,choices!A:A,0)+1), "
",""),IF(M57=INDEX(choices!A:A,MATCH(M57,choices!A:A,0)+2),INDEX(choices!D:D,MATCH(M57,choices!A:A,0)+2),""),IF(M57=INDEX(choices!A:A,MATCH(M57,choices!A:A,0)+2), "
",""),IF(M57=INDEX(choices!A:A,MATCH(M57,choices!A:A,0)+3),INDEX(choices!D:D,MATCH(M57,choices!A:A,0)+3),""),IF(M57=INDEX(choices!A:A,MATCH(M57,choices!A:A,0)+3), "
",""),IF(M57=INDEX(choices!A:A,MATCH(M57,choices!A:A,0)+4),INDEX(choices!D:D,MATCH(M57,choices!A:A,0)+4),""),IF(M57=INDEX(choices!A:A,MATCH(M57,choices!A:A,0)+4), "
",""),IF(M57=INDEX(choices!A:A,MATCH(M57,choices!A:A,0)+5),INDEX(choices!D:D,MATCH(M57,choices!A:A,0)+5),""),IF(M57=INDEX(choices!A:A,MATCH(M57,choices!A:A,0)+5), "
",""),IF(M57=INDEX(choices!A:A,MATCH(M57,choices!A:A,0)+6),INDEX(choices!D:D,MATCH(M57,choices!A:A,0)+6),""),IF(M57=INDEX(choices!A:A,MATCH(M57,choices!A:A,0)+6), "
",""),IF(M57=INDEX(choices!A:A,MATCH(M57,choices!A:A,0)+7),INDEX(choices!D:D,MATCH(M57,choices!A:A,0)+7),""),IF(M57=INDEX(choices!A:A,MATCH(M57,choices!A:A,0)+7), "
",""),IF(M57=INDEX(choices!A:A,MATCH(M57,choices!A:A,0)+8),INDEX(choices!D:D,MATCH(M57,choices!A:A,0)+8),""),IF(M57=INDEX(choices!A:A,MATCH(M57,choices!A:A,0)+8), "
",""),IF(M57=INDEX(choices!A:A,MATCH(M57,choices!A:A,0)+9),INDEX(choices!D:D,MATCH(M57,choices!A:A,0)+9),""),IF(M57=INDEX(choices!A:A,MATCH(M57,choices!A:A,0)+9), "
",""),IF(M57=INDEX(choices!A:A,MATCH(M57,choices!A:A,0)+10),INDEX(choices!D:D,MATCH(M57,choices!A:A,0)+10),""),IF(M57=INDEX(choices!A:A,MATCH(M57,choices!A:A,0)+10), "
",""),IF(M57=INDEX(choices!A:A,MATCH(M57,choices!A:A,0)+11),INDEX(choices!D:D,MATCH(M57,choices!A:A,0)+11),""),IF(M57=INDEX(choices!A:A,MATCH(M57,choices!A:A,0)+11), "
",""),IF(M57=INDEX(choices!A:A,MATCH(M57,choices!A:A,0)+12),INDEX(choices!D:D,MATCH(M57,choices!A:A,0)+12),""),IF(M57=INDEX(choices!A:A,MATCH(M57,choices!A:A,0)+12), "
",""),IF(M57=INDEX(choices!A:A,MATCH(M57,choices!A:A,0)+13),INDEX(choices!D:D,MATCH(M57,choices!A:A,0)+13),""),IF(M57=INDEX(choices!A:A,MATCH(M57,choices!A:A,0)+13), "
",""),IF(M57=INDEX(choices!A:A,MATCH(M57,choices!A:A,0)+14),INDEX(choices!D:D,MATCH(M57,choices!A:A,0)+14),""),IF(M57=INDEX(choices!A:A,MATCH(M57,choices!A:A,0)+14), "
",""),IF(M57=INDEX(choices!A:A,MATCH(M57,choices!A:A,0)+15),INDEX(choices!D:D,MATCH(M57,choices!A:A,0)+15),""),IF(M57=INDEX(choices!A:A,MATCH(M57,choices!A:A,0)+15), "
",""),IF(M57=INDEX(choices!A:A,MATCH(M57,choices!A:A,0)+16),INDEX(choices!D:D,MATCH(M57,choices!A:A,0)+16),""),IF(M57=INDEX(choices!A:A,MATCH(M57,choices!A:A,0)+16), "
",""),IF(M57=INDEX(choices!A:A,MATCH(M57,choices!A:A,0)+17),INDEX(choices!D:D,MATCH(M57,choices!A:A,0)+17),""),IF(M57=INDEX(choices!A:A,MATCH(M57,choices!A:A,0)+17), "
",""),IF(M57=INDEX(choices!A:A,MATCH(M57,choices!A:A,0)+18),INDEX(choices!D:D,MATCH(M57,choices!A:A,0)+18),""),IF(M57=INDEX(choices!A:A,MATCH(M57,choices!A:A,0)+18), "
",""),IF(M57=INDEX(choices!A:A,MATCH(M57,choices!A:A,0)+19),INDEX(choices!D:D,MATCH(M57,choices!A:A,0)+19),""),IF(M57=INDEX(choices!A:A,MATCH(M57,choices!A:A,0)+19), "
",""),IF(M57=INDEX(choices!A:A,MATCH(M57,choices!A:A,0)+20),INDEX(choices!D:D,MATCH(M57,choices!A:A,0)+20),""),IF(M57=INDEX(choices!A:A,MATCH(M57,choices!A:A,0)+20), "
",""))</f>
        <v xml:space="preserve">1. Yes
2. No
</v>
      </c>
      <c r="E57" s="366" t="s">
        <v>1230</v>
      </c>
      <c r="F57" s="280"/>
      <c r="G57" s="67" t="str">
        <f>CONCATENATE(INDEX(choices!C:C,MATCH(M57,choices!A:A,0)),"
",IF(M57=INDEX(choices!A:A,MATCH(M57,choices!A:A,0)+1),INDEX(choices!C:C,MATCH(M57,choices!A:A,0)+1),""),IF(M57=INDEX(choices!A:A,MATCH(M57,choices!A:A,0)+1), "
",""),IF(M57=INDEX(choices!A:A,MATCH(M57,choices!A:A,0)+2),INDEX(choices!C:C,MATCH(M57,choices!A:A,0)+2),""),IF(M57=INDEX(choices!A:A,MATCH(M57,choices!A:A,0)+2), "
",""),IF(M57=INDEX(choices!A:A,MATCH(M57,choices!A:A,0)+3),INDEX(choices!C:C,MATCH(M57,choices!A:A,0)+3),""),IF(M57=INDEX(choices!A:A,MATCH(M57,choices!A:A,0)+3), "
",""),IF(M57=INDEX(choices!A:A,MATCH(M57,choices!A:A,0)+4),INDEX(choices!C:C,MATCH(M57,choices!A:A,0)+4),""),IF(M57=INDEX(choices!A:A,MATCH(M57,choices!A:A,0)+4), "
",""),IF(M57=INDEX(choices!A:A,MATCH(M57,choices!A:A,0)+5),INDEX(choices!C:C,MATCH(M57,choices!A:A,0)+5),""),IF(M57=INDEX(choices!A:A,MATCH(M57,choices!A:A,0)+5), "
",""),IF(M57=INDEX(choices!A:A,MATCH(M57,choices!A:A,0)+6),INDEX(choices!C:C,MATCH(M57,choices!A:A,0)+6),""),IF(M57=INDEX(choices!A:A,MATCH(M57,choices!A:A,0)+6), "
",""),IF(M57=INDEX(choices!A:A,MATCH(M57,choices!A:A,0)+7),INDEX(choices!C:C,MATCH(M57,choices!A:A,0)+7),""),IF(M57=INDEX(choices!A:A,MATCH(M57,choices!A:A,0)+7), "
",""),IF(M57=INDEX(choices!A:A,MATCH(M57,choices!A:A,0)+8),INDEX(choices!C:C,MATCH(M57,choices!A:A,0)+8),""),IF(M57=INDEX(choices!A:A,MATCH(M57,choices!A:A,0)+8), "
",""),IF(M57=INDEX(choices!A:A,MATCH(M57,choices!A:A,0)+9),INDEX(choices!C:C,MATCH(M57,choices!A:A,0)+9),""),IF(M57=INDEX(choices!A:A,MATCH(M57,choices!A:A,0)+9), "
",""),IF(M57=INDEX(choices!A:A,MATCH(M57,choices!A:A,0)+10),INDEX(choices!C:C,MATCH(M57,choices!A:A,0)+10),""),IF(M57=INDEX(choices!A:A,MATCH(M57,choices!A:A,0)+10), "
",""),IF(M57=INDEX(choices!A:A,MATCH(M57,choices!A:A,0)+11),INDEX(choices!C:C,MATCH(M57,choices!A:A,0)+11),""),IF(M57=INDEX(choices!A:A,MATCH(M57,choices!A:A,0)+11), "
",""),IF(M57=INDEX(choices!A:A,MATCH(M57,choices!A:A,0)+12),INDEX(choices!C:C,MATCH(M57,choices!A:A,0)+12),""),IF(M57=INDEX(choices!A:A,MATCH(M57,choices!A:A,0)+12), "
",""),IF(M57=INDEX(choices!A:A,MATCH(M57,choices!A:A,0)+13),INDEX(choices!C:C,MATCH(M57,choices!A:A,0)+13),""),IF(M57=INDEX(choices!A:A,MATCH(M57,choices!A:A,0)+13), "
",""),IF(M57=INDEX(choices!A:A,MATCH(M57,choices!A:A,0)+14),INDEX(choices!C:C,MATCH(M57,choices!A:A,0)+14),""),IF(M57=INDEX(choices!A:A,MATCH(M57,choices!A:A,0)+14), "
",""),IF(M57=INDEX(choices!A:A,MATCH(M57,choices!A:A,0)+15),INDEX(choices!C:C,MATCH(M57,choices!A:A,0)+15),""),IF(M57=INDEX(choices!A:A,MATCH(M57,choices!A:A,0)+15), "
",""),IF(M57=INDEX(choices!A:A,MATCH(M57,choices!A:A,0)+16),INDEX(choices!C:C,MATCH(M57,choices!A:A,0)+16),""),IF(M57=INDEX(choices!A:A,MATCH(M57,choices!A:A,0)+16), "
",""),IF(M57=INDEX(choices!A:A,MATCH(M57,choices!A:A,0)+17),INDEX(choices!C:C,MATCH(M57,choices!A:A,0)+17),""),IF(M57=INDEX(choices!A:A,MATCH(M57,choices!A:A,0)+17), "
",""),IF(M57=INDEX(choices!A:A,MATCH(M57,choices!A:A,0)+18),INDEX(choices!C:C,MATCH(M57,choices!A:A,0)+18),""),IF(M57=INDEX(choices!A:A,MATCH(M57,choices!A:A,0)+18), "
",""),IF(M57=INDEX(choices!A:A,MATCH(M57,choices!A:A,0)+19),INDEX(choices!C:C,MATCH(M57,choices!A:A,0)+19),""),IF(M57=INDEX(choices!A:A,MATCH(M57,choices!A:A,0)+19), "
",""),IF(M57=INDEX(choices!A:A,MATCH(M57,choices!A:A,0)+20),INDEX(choices!C:C,MATCH(M57,choices!A:A,0)+20),""),IF(M57=INDEX(choices!A:A,MATCH(M57,choices!A:A,0)+20), "
","")," ")</f>
        <v xml:space="preserve">1. نعم
2. لا
 </v>
      </c>
      <c r="H57" s="266">
        <f t="shared" si="5"/>
        <v>7</v>
      </c>
      <c r="I57" s="274" t="str">
        <f t="shared" si="1"/>
        <v>14408_7</v>
      </c>
      <c r="J57" s="267"/>
      <c r="K57" s="267"/>
      <c r="L57" s="267" t="s">
        <v>170</v>
      </c>
      <c r="M57" s="277" t="s">
        <v>17</v>
      </c>
      <c r="N57" s="64" t="str">
        <f t="shared" si="2"/>
        <v>q14408_7</v>
      </c>
      <c r="O57" s="306" t="str">
        <f t="shared" si="3"/>
        <v>14408_7. بيع أدوات الزراعة أو البذور، أو غيرها من المدخلات؟</v>
      </c>
      <c r="P57" s="257" t="str">
        <f t="shared" si="4"/>
        <v>14408_7. Sold agricultural tools, seeds, or other inputs?</v>
      </c>
      <c r="Q57" s="28"/>
      <c r="R57" s="28"/>
      <c r="S57" s="43" t="str">
        <f>CONCATENATE(K$47, " &amp;&amp; ", '1_0_statistical_identification'!$S$164)</f>
        <v>(selected(data('q14401_1'), '1') || selected(data('q14402_1'), '1') || selected(data('q14403_1'), '1') || selected(data('q14404_1'), '1') ||selected(data('q14405_1'), '1') || selected(data('q14406_1'), '1') || selected(data('q14407_1'), '1') ) &amp;&amp; (data('valid_overall') == 1)</v>
      </c>
      <c r="T57" s="262"/>
      <c r="U57" s="262"/>
      <c r="V57" s="262"/>
      <c r="W57" s="262"/>
      <c r="X57" s="262"/>
      <c r="Y57" s="71" t="b">
        <v>1</v>
      </c>
    </row>
    <row r="58" spans="1:31" s="265" customFormat="1" ht="45">
      <c r="A58" s="48" t="str">
        <f t="shared" si="0"/>
        <v>q14408_8</v>
      </c>
      <c r="B58" s="280" t="s">
        <v>928</v>
      </c>
      <c r="C58" s="280"/>
      <c r="D58" s="127" t="str">
        <f>CONCATENATE(INDEX(choices!D:D,MATCH(M58,choices!A:A,0)),"
",IF(M58=INDEX(choices!A:A,MATCH(M58,choices!A:A,0)+1),INDEX(choices!D:D,MATCH(M58,choices!A:A,0)+1),""),IF(M58=INDEX(choices!A:A,MATCH(M58,choices!A:A,0)+1), "
",""),IF(M58=INDEX(choices!A:A,MATCH(M58,choices!A:A,0)+2),INDEX(choices!D:D,MATCH(M58,choices!A:A,0)+2),""),IF(M58=INDEX(choices!A:A,MATCH(M58,choices!A:A,0)+2), "
",""),IF(M58=INDEX(choices!A:A,MATCH(M58,choices!A:A,0)+3),INDEX(choices!D:D,MATCH(M58,choices!A:A,0)+3),""),IF(M58=INDEX(choices!A:A,MATCH(M58,choices!A:A,0)+3), "
",""),IF(M58=INDEX(choices!A:A,MATCH(M58,choices!A:A,0)+4),INDEX(choices!D:D,MATCH(M58,choices!A:A,0)+4),""),IF(M58=INDEX(choices!A:A,MATCH(M58,choices!A:A,0)+4), "
",""),IF(M58=INDEX(choices!A:A,MATCH(M58,choices!A:A,0)+5),INDEX(choices!D:D,MATCH(M58,choices!A:A,0)+5),""),IF(M58=INDEX(choices!A:A,MATCH(M58,choices!A:A,0)+5), "
",""),IF(M58=INDEX(choices!A:A,MATCH(M58,choices!A:A,0)+6),INDEX(choices!D:D,MATCH(M58,choices!A:A,0)+6),""),IF(M58=INDEX(choices!A:A,MATCH(M58,choices!A:A,0)+6), "
",""),IF(M58=INDEX(choices!A:A,MATCH(M58,choices!A:A,0)+7),INDEX(choices!D:D,MATCH(M58,choices!A:A,0)+7),""),IF(M58=INDEX(choices!A:A,MATCH(M58,choices!A:A,0)+7), "
",""),IF(M58=INDEX(choices!A:A,MATCH(M58,choices!A:A,0)+8),INDEX(choices!D:D,MATCH(M58,choices!A:A,0)+8),""),IF(M58=INDEX(choices!A:A,MATCH(M58,choices!A:A,0)+8), "
",""),IF(M58=INDEX(choices!A:A,MATCH(M58,choices!A:A,0)+9),INDEX(choices!D:D,MATCH(M58,choices!A:A,0)+9),""),IF(M58=INDEX(choices!A:A,MATCH(M58,choices!A:A,0)+9), "
",""),IF(M58=INDEX(choices!A:A,MATCH(M58,choices!A:A,0)+10),INDEX(choices!D:D,MATCH(M58,choices!A:A,0)+10),""),IF(M58=INDEX(choices!A:A,MATCH(M58,choices!A:A,0)+10), "
",""),IF(M58=INDEX(choices!A:A,MATCH(M58,choices!A:A,0)+11),INDEX(choices!D:D,MATCH(M58,choices!A:A,0)+11),""),IF(M58=INDEX(choices!A:A,MATCH(M58,choices!A:A,0)+11), "
",""),IF(M58=INDEX(choices!A:A,MATCH(M58,choices!A:A,0)+12),INDEX(choices!D:D,MATCH(M58,choices!A:A,0)+12),""),IF(M58=INDEX(choices!A:A,MATCH(M58,choices!A:A,0)+12), "
",""),IF(M58=INDEX(choices!A:A,MATCH(M58,choices!A:A,0)+13),INDEX(choices!D:D,MATCH(M58,choices!A:A,0)+13),""),IF(M58=INDEX(choices!A:A,MATCH(M58,choices!A:A,0)+13), "
",""),IF(M58=INDEX(choices!A:A,MATCH(M58,choices!A:A,0)+14),INDEX(choices!D:D,MATCH(M58,choices!A:A,0)+14),""),IF(M58=INDEX(choices!A:A,MATCH(M58,choices!A:A,0)+14), "
",""),IF(M58=INDEX(choices!A:A,MATCH(M58,choices!A:A,0)+15),INDEX(choices!D:D,MATCH(M58,choices!A:A,0)+15),""),IF(M58=INDEX(choices!A:A,MATCH(M58,choices!A:A,0)+15), "
",""),IF(M58=INDEX(choices!A:A,MATCH(M58,choices!A:A,0)+16),INDEX(choices!D:D,MATCH(M58,choices!A:A,0)+16),""),IF(M58=INDEX(choices!A:A,MATCH(M58,choices!A:A,0)+16), "
",""),IF(M58=INDEX(choices!A:A,MATCH(M58,choices!A:A,0)+17),INDEX(choices!D:D,MATCH(M58,choices!A:A,0)+17),""),IF(M58=INDEX(choices!A:A,MATCH(M58,choices!A:A,0)+17), "
",""),IF(M58=INDEX(choices!A:A,MATCH(M58,choices!A:A,0)+18),INDEX(choices!D:D,MATCH(M58,choices!A:A,0)+18),""),IF(M58=INDEX(choices!A:A,MATCH(M58,choices!A:A,0)+18), "
",""),IF(M58=INDEX(choices!A:A,MATCH(M58,choices!A:A,0)+19),INDEX(choices!D:D,MATCH(M58,choices!A:A,0)+19),""),IF(M58=INDEX(choices!A:A,MATCH(M58,choices!A:A,0)+19), "
",""),IF(M58=INDEX(choices!A:A,MATCH(M58,choices!A:A,0)+20),INDEX(choices!D:D,MATCH(M58,choices!A:A,0)+20),""),IF(M58=INDEX(choices!A:A,MATCH(M58,choices!A:A,0)+20), "
",""))</f>
        <v xml:space="preserve">1. Yes
2. No
</v>
      </c>
      <c r="E58" s="366" t="s">
        <v>1231</v>
      </c>
      <c r="F58" s="280"/>
      <c r="G58" s="67" t="str">
        <f>CONCATENATE(INDEX(choices!C:C,MATCH(M58,choices!A:A,0)),"
",IF(M58=INDEX(choices!A:A,MATCH(M58,choices!A:A,0)+1),INDEX(choices!C:C,MATCH(M58,choices!A:A,0)+1),""),IF(M58=INDEX(choices!A:A,MATCH(M58,choices!A:A,0)+1), "
",""),IF(M58=INDEX(choices!A:A,MATCH(M58,choices!A:A,0)+2),INDEX(choices!C:C,MATCH(M58,choices!A:A,0)+2),""),IF(M58=INDEX(choices!A:A,MATCH(M58,choices!A:A,0)+2), "
",""),IF(M58=INDEX(choices!A:A,MATCH(M58,choices!A:A,0)+3),INDEX(choices!C:C,MATCH(M58,choices!A:A,0)+3),""),IF(M58=INDEX(choices!A:A,MATCH(M58,choices!A:A,0)+3), "
",""),IF(M58=INDEX(choices!A:A,MATCH(M58,choices!A:A,0)+4),INDEX(choices!C:C,MATCH(M58,choices!A:A,0)+4),""),IF(M58=INDEX(choices!A:A,MATCH(M58,choices!A:A,0)+4), "
",""),IF(M58=INDEX(choices!A:A,MATCH(M58,choices!A:A,0)+5),INDEX(choices!C:C,MATCH(M58,choices!A:A,0)+5),""),IF(M58=INDEX(choices!A:A,MATCH(M58,choices!A:A,0)+5), "
",""),IF(M58=INDEX(choices!A:A,MATCH(M58,choices!A:A,0)+6),INDEX(choices!C:C,MATCH(M58,choices!A:A,0)+6),""),IF(M58=INDEX(choices!A:A,MATCH(M58,choices!A:A,0)+6), "
",""),IF(M58=INDEX(choices!A:A,MATCH(M58,choices!A:A,0)+7),INDEX(choices!C:C,MATCH(M58,choices!A:A,0)+7),""),IF(M58=INDEX(choices!A:A,MATCH(M58,choices!A:A,0)+7), "
",""),IF(M58=INDEX(choices!A:A,MATCH(M58,choices!A:A,0)+8),INDEX(choices!C:C,MATCH(M58,choices!A:A,0)+8),""),IF(M58=INDEX(choices!A:A,MATCH(M58,choices!A:A,0)+8), "
",""),IF(M58=INDEX(choices!A:A,MATCH(M58,choices!A:A,0)+9),INDEX(choices!C:C,MATCH(M58,choices!A:A,0)+9),""),IF(M58=INDEX(choices!A:A,MATCH(M58,choices!A:A,0)+9), "
",""),IF(M58=INDEX(choices!A:A,MATCH(M58,choices!A:A,0)+10),INDEX(choices!C:C,MATCH(M58,choices!A:A,0)+10),""),IF(M58=INDEX(choices!A:A,MATCH(M58,choices!A:A,0)+10), "
",""),IF(M58=INDEX(choices!A:A,MATCH(M58,choices!A:A,0)+11),INDEX(choices!C:C,MATCH(M58,choices!A:A,0)+11),""),IF(M58=INDEX(choices!A:A,MATCH(M58,choices!A:A,0)+11), "
",""),IF(M58=INDEX(choices!A:A,MATCH(M58,choices!A:A,0)+12),INDEX(choices!C:C,MATCH(M58,choices!A:A,0)+12),""),IF(M58=INDEX(choices!A:A,MATCH(M58,choices!A:A,0)+12), "
",""),IF(M58=INDEX(choices!A:A,MATCH(M58,choices!A:A,0)+13),INDEX(choices!C:C,MATCH(M58,choices!A:A,0)+13),""),IF(M58=INDEX(choices!A:A,MATCH(M58,choices!A:A,0)+13), "
",""),IF(M58=INDEX(choices!A:A,MATCH(M58,choices!A:A,0)+14),INDEX(choices!C:C,MATCH(M58,choices!A:A,0)+14),""),IF(M58=INDEX(choices!A:A,MATCH(M58,choices!A:A,0)+14), "
",""),IF(M58=INDEX(choices!A:A,MATCH(M58,choices!A:A,0)+15),INDEX(choices!C:C,MATCH(M58,choices!A:A,0)+15),""),IF(M58=INDEX(choices!A:A,MATCH(M58,choices!A:A,0)+15), "
",""),IF(M58=INDEX(choices!A:A,MATCH(M58,choices!A:A,0)+16),INDEX(choices!C:C,MATCH(M58,choices!A:A,0)+16),""),IF(M58=INDEX(choices!A:A,MATCH(M58,choices!A:A,0)+16), "
",""),IF(M58=INDEX(choices!A:A,MATCH(M58,choices!A:A,0)+17),INDEX(choices!C:C,MATCH(M58,choices!A:A,0)+17),""),IF(M58=INDEX(choices!A:A,MATCH(M58,choices!A:A,0)+17), "
",""),IF(M58=INDEX(choices!A:A,MATCH(M58,choices!A:A,0)+18),INDEX(choices!C:C,MATCH(M58,choices!A:A,0)+18),""),IF(M58=INDEX(choices!A:A,MATCH(M58,choices!A:A,0)+18), "
",""),IF(M58=INDEX(choices!A:A,MATCH(M58,choices!A:A,0)+19),INDEX(choices!C:C,MATCH(M58,choices!A:A,0)+19),""),IF(M58=INDEX(choices!A:A,MATCH(M58,choices!A:A,0)+19), "
",""),IF(M58=INDEX(choices!A:A,MATCH(M58,choices!A:A,0)+20),INDEX(choices!C:C,MATCH(M58,choices!A:A,0)+20),""),IF(M58=INDEX(choices!A:A,MATCH(M58,choices!A:A,0)+20), "
","")," ")</f>
        <v xml:space="preserve">1. نعم
2. لا
 </v>
      </c>
      <c r="H58" s="266">
        <f t="shared" si="5"/>
        <v>8</v>
      </c>
      <c r="I58" s="274" t="str">
        <f t="shared" si="1"/>
        <v>14408_8</v>
      </c>
      <c r="J58" s="267"/>
      <c r="K58" s="267"/>
      <c r="L58" s="267" t="s">
        <v>170</v>
      </c>
      <c r="M58" s="277" t="s">
        <v>17</v>
      </c>
      <c r="N58" s="64" t="str">
        <f t="shared" si="2"/>
        <v>q14408_8</v>
      </c>
      <c r="O58" s="306" t="str">
        <f t="shared" si="3"/>
        <v>14408_8. العمل مقابل للغذاء فقط؟</v>
      </c>
      <c r="P58" s="257" t="str">
        <f t="shared" si="4"/>
        <v>14408_8. worked for food only?</v>
      </c>
      <c r="Q58" s="28"/>
      <c r="R58" s="28"/>
      <c r="S58" s="43" t="str">
        <f>CONCATENATE(K$47, " &amp;&amp; ", '1_0_statistical_identification'!$S$164)</f>
        <v>(selected(data('q14401_1'), '1') || selected(data('q14402_1'), '1') || selected(data('q14403_1'), '1') || selected(data('q14404_1'), '1') ||selected(data('q14405_1'), '1') || selected(data('q14406_1'), '1') || selected(data('q14407_1'), '1') ) &amp;&amp; (data('valid_overall') == 1)</v>
      </c>
      <c r="T58" s="262"/>
      <c r="U58" s="262"/>
      <c r="V58" s="262"/>
      <c r="W58" s="262"/>
      <c r="X58" s="262"/>
      <c r="Y58" s="71" t="b">
        <v>1</v>
      </c>
    </row>
    <row r="59" spans="1:31" s="265" customFormat="1" ht="45">
      <c r="A59" s="48" t="str">
        <f t="shared" si="0"/>
        <v>q14408_9</v>
      </c>
      <c r="B59" s="280" t="s">
        <v>929</v>
      </c>
      <c r="C59" s="280"/>
      <c r="D59" s="127" t="str">
        <f>CONCATENATE(INDEX(choices!D:D,MATCH(M59,choices!A:A,0)),"
",IF(M59=INDEX(choices!A:A,MATCH(M59,choices!A:A,0)+1),INDEX(choices!D:D,MATCH(M59,choices!A:A,0)+1),""),IF(M59=INDEX(choices!A:A,MATCH(M59,choices!A:A,0)+1), "
",""),IF(M59=INDEX(choices!A:A,MATCH(M59,choices!A:A,0)+2),INDEX(choices!D:D,MATCH(M59,choices!A:A,0)+2),""),IF(M59=INDEX(choices!A:A,MATCH(M59,choices!A:A,0)+2), "
",""),IF(M59=INDEX(choices!A:A,MATCH(M59,choices!A:A,0)+3),INDEX(choices!D:D,MATCH(M59,choices!A:A,0)+3),""),IF(M59=INDEX(choices!A:A,MATCH(M59,choices!A:A,0)+3), "
",""),IF(M59=INDEX(choices!A:A,MATCH(M59,choices!A:A,0)+4),INDEX(choices!D:D,MATCH(M59,choices!A:A,0)+4),""),IF(M59=INDEX(choices!A:A,MATCH(M59,choices!A:A,0)+4), "
",""),IF(M59=INDEX(choices!A:A,MATCH(M59,choices!A:A,0)+5),INDEX(choices!D:D,MATCH(M59,choices!A:A,0)+5),""),IF(M59=INDEX(choices!A:A,MATCH(M59,choices!A:A,0)+5), "
",""),IF(M59=INDEX(choices!A:A,MATCH(M59,choices!A:A,0)+6),INDEX(choices!D:D,MATCH(M59,choices!A:A,0)+6),""),IF(M59=INDEX(choices!A:A,MATCH(M59,choices!A:A,0)+6), "
",""),IF(M59=INDEX(choices!A:A,MATCH(M59,choices!A:A,0)+7),INDEX(choices!D:D,MATCH(M59,choices!A:A,0)+7),""),IF(M59=INDEX(choices!A:A,MATCH(M59,choices!A:A,0)+7), "
",""),IF(M59=INDEX(choices!A:A,MATCH(M59,choices!A:A,0)+8),INDEX(choices!D:D,MATCH(M59,choices!A:A,0)+8),""),IF(M59=INDEX(choices!A:A,MATCH(M59,choices!A:A,0)+8), "
",""),IF(M59=INDEX(choices!A:A,MATCH(M59,choices!A:A,0)+9),INDEX(choices!D:D,MATCH(M59,choices!A:A,0)+9),""),IF(M59=INDEX(choices!A:A,MATCH(M59,choices!A:A,0)+9), "
",""),IF(M59=INDEX(choices!A:A,MATCH(M59,choices!A:A,0)+10),INDEX(choices!D:D,MATCH(M59,choices!A:A,0)+10),""),IF(M59=INDEX(choices!A:A,MATCH(M59,choices!A:A,0)+10), "
",""),IF(M59=INDEX(choices!A:A,MATCH(M59,choices!A:A,0)+11),INDEX(choices!D:D,MATCH(M59,choices!A:A,0)+11),""),IF(M59=INDEX(choices!A:A,MATCH(M59,choices!A:A,0)+11), "
",""),IF(M59=INDEX(choices!A:A,MATCH(M59,choices!A:A,0)+12),INDEX(choices!D:D,MATCH(M59,choices!A:A,0)+12),""),IF(M59=INDEX(choices!A:A,MATCH(M59,choices!A:A,0)+12), "
",""),IF(M59=INDEX(choices!A:A,MATCH(M59,choices!A:A,0)+13),INDEX(choices!D:D,MATCH(M59,choices!A:A,0)+13),""),IF(M59=INDEX(choices!A:A,MATCH(M59,choices!A:A,0)+13), "
",""),IF(M59=INDEX(choices!A:A,MATCH(M59,choices!A:A,0)+14),INDEX(choices!D:D,MATCH(M59,choices!A:A,0)+14),""),IF(M59=INDEX(choices!A:A,MATCH(M59,choices!A:A,0)+14), "
",""),IF(M59=INDEX(choices!A:A,MATCH(M59,choices!A:A,0)+15),INDEX(choices!D:D,MATCH(M59,choices!A:A,0)+15),""),IF(M59=INDEX(choices!A:A,MATCH(M59,choices!A:A,0)+15), "
",""),IF(M59=INDEX(choices!A:A,MATCH(M59,choices!A:A,0)+16),INDEX(choices!D:D,MATCH(M59,choices!A:A,0)+16),""),IF(M59=INDEX(choices!A:A,MATCH(M59,choices!A:A,0)+16), "
",""),IF(M59=INDEX(choices!A:A,MATCH(M59,choices!A:A,0)+17),INDEX(choices!D:D,MATCH(M59,choices!A:A,0)+17),""),IF(M59=INDEX(choices!A:A,MATCH(M59,choices!A:A,0)+17), "
",""),IF(M59=INDEX(choices!A:A,MATCH(M59,choices!A:A,0)+18),INDEX(choices!D:D,MATCH(M59,choices!A:A,0)+18),""),IF(M59=INDEX(choices!A:A,MATCH(M59,choices!A:A,0)+18), "
",""),IF(M59=INDEX(choices!A:A,MATCH(M59,choices!A:A,0)+19),INDEX(choices!D:D,MATCH(M59,choices!A:A,0)+19),""),IF(M59=INDEX(choices!A:A,MATCH(M59,choices!A:A,0)+19), "
",""),IF(M59=INDEX(choices!A:A,MATCH(M59,choices!A:A,0)+20),INDEX(choices!D:D,MATCH(M59,choices!A:A,0)+20),""),IF(M59=INDEX(choices!A:A,MATCH(M59,choices!A:A,0)+20), "
",""))</f>
        <v xml:space="preserve">1. Yes
2. No
</v>
      </c>
      <c r="E59" s="366" t="s">
        <v>1232</v>
      </c>
      <c r="F59" s="280"/>
      <c r="G59" s="67" t="str">
        <f>CONCATENATE(INDEX(choices!C:C,MATCH(M59,choices!A:A,0)),"
",IF(M59=INDEX(choices!A:A,MATCH(M59,choices!A:A,0)+1),INDEX(choices!C:C,MATCH(M59,choices!A:A,0)+1),""),IF(M59=INDEX(choices!A:A,MATCH(M59,choices!A:A,0)+1), "
",""),IF(M59=INDEX(choices!A:A,MATCH(M59,choices!A:A,0)+2),INDEX(choices!C:C,MATCH(M59,choices!A:A,0)+2),""),IF(M59=INDEX(choices!A:A,MATCH(M59,choices!A:A,0)+2), "
",""),IF(M59=INDEX(choices!A:A,MATCH(M59,choices!A:A,0)+3),INDEX(choices!C:C,MATCH(M59,choices!A:A,0)+3),""),IF(M59=INDEX(choices!A:A,MATCH(M59,choices!A:A,0)+3), "
",""),IF(M59=INDEX(choices!A:A,MATCH(M59,choices!A:A,0)+4),INDEX(choices!C:C,MATCH(M59,choices!A:A,0)+4),""),IF(M59=INDEX(choices!A:A,MATCH(M59,choices!A:A,0)+4), "
",""),IF(M59=INDEX(choices!A:A,MATCH(M59,choices!A:A,0)+5),INDEX(choices!C:C,MATCH(M59,choices!A:A,0)+5),""),IF(M59=INDEX(choices!A:A,MATCH(M59,choices!A:A,0)+5), "
",""),IF(M59=INDEX(choices!A:A,MATCH(M59,choices!A:A,0)+6),INDEX(choices!C:C,MATCH(M59,choices!A:A,0)+6),""),IF(M59=INDEX(choices!A:A,MATCH(M59,choices!A:A,0)+6), "
",""),IF(M59=INDEX(choices!A:A,MATCH(M59,choices!A:A,0)+7),INDEX(choices!C:C,MATCH(M59,choices!A:A,0)+7),""),IF(M59=INDEX(choices!A:A,MATCH(M59,choices!A:A,0)+7), "
",""),IF(M59=INDEX(choices!A:A,MATCH(M59,choices!A:A,0)+8),INDEX(choices!C:C,MATCH(M59,choices!A:A,0)+8),""),IF(M59=INDEX(choices!A:A,MATCH(M59,choices!A:A,0)+8), "
",""),IF(M59=INDEX(choices!A:A,MATCH(M59,choices!A:A,0)+9),INDEX(choices!C:C,MATCH(M59,choices!A:A,0)+9),""),IF(M59=INDEX(choices!A:A,MATCH(M59,choices!A:A,0)+9), "
",""),IF(M59=INDEX(choices!A:A,MATCH(M59,choices!A:A,0)+10),INDEX(choices!C:C,MATCH(M59,choices!A:A,0)+10),""),IF(M59=INDEX(choices!A:A,MATCH(M59,choices!A:A,0)+10), "
",""),IF(M59=INDEX(choices!A:A,MATCH(M59,choices!A:A,0)+11),INDEX(choices!C:C,MATCH(M59,choices!A:A,0)+11),""),IF(M59=INDEX(choices!A:A,MATCH(M59,choices!A:A,0)+11), "
",""),IF(M59=INDEX(choices!A:A,MATCH(M59,choices!A:A,0)+12),INDEX(choices!C:C,MATCH(M59,choices!A:A,0)+12),""),IF(M59=INDEX(choices!A:A,MATCH(M59,choices!A:A,0)+12), "
",""),IF(M59=INDEX(choices!A:A,MATCH(M59,choices!A:A,0)+13),INDEX(choices!C:C,MATCH(M59,choices!A:A,0)+13),""),IF(M59=INDEX(choices!A:A,MATCH(M59,choices!A:A,0)+13), "
",""),IF(M59=INDEX(choices!A:A,MATCH(M59,choices!A:A,0)+14),INDEX(choices!C:C,MATCH(M59,choices!A:A,0)+14),""),IF(M59=INDEX(choices!A:A,MATCH(M59,choices!A:A,0)+14), "
",""),IF(M59=INDEX(choices!A:A,MATCH(M59,choices!A:A,0)+15),INDEX(choices!C:C,MATCH(M59,choices!A:A,0)+15),""),IF(M59=INDEX(choices!A:A,MATCH(M59,choices!A:A,0)+15), "
",""),IF(M59=INDEX(choices!A:A,MATCH(M59,choices!A:A,0)+16),INDEX(choices!C:C,MATCH(M59,choices!A:A,0)+16),""),IF(M59=INDEX(choices!A:A,MATCH(M59,choices!A:A,0)+16), "
",""),IF(M59=INDEX(choices!A:A,MATCH(M59,choices!A:A,0)+17),INDEX(choices!C:C,MATCH(M59,choices!A:A,0)+17),""),IF(M59=INDEX(choices!A:A,MATCH(M59,choices!A:A,0)+17), "
",""),IF(M59=INDEX(choices!A:A,MATCH(M59,choices!A:A,0)+18),INDEX(choices!C:C,MATCH(M59,choices!A:A,0)+18),""),IF(M59=INDEX(choices!A:A,MATCH(M59,choices!A:A,0)+18), "
",""),IF(M59=INDEX(choices!A:A,MATCH(M59,choices!A:A,0)+19),INDEX(choices!C:C,MATCH(M59,choices!A:A,0)+19),""),IF(M59=INDEX(choices!A:A,MATCH(M59,choices!A:A,0)+19), "
",""),IF(M59=INDEX(choices!A:A,MATCH(M59,choices!A:A,0)+20),INDEX(choices!C:C,MATCH(M59,choices!A:A,0)+20),""),IF(M59=INDEX(choices!A:A,MATCH(M59,choices!A:A,0)+20), "
","")," ")</f>
        <v xml:space="preserve">1. نعم
2. لا
 </v>
      </c>
      <c r="H59" s="266">
        <f t="shared" si="5"/>
        <v>9</v>
      </c>
      <c r="I59" s="274" t="str">
        <f t="shared" si="1"/>
        <v>14408_9</v>
      </c>
      <c r="J59" s="267"/>
      <c r="K59" s="267"/>
      <c r="L59" s="267" t="s">
        <v>170</v>
      </c>
      <c r="M59" s="277" t="s">
        <v>17</v>
      </c>
      <c r="N59" s="64" t="str">
        <f t="shared" si="2"/>
        <v>q14408_9</v>
      </c>
      <c r="O59" s="306" t="str">
        <f t="shared" si="3"/>
        <v>14408_9. أخرى (حدد)</v>
      </c>
      <c r="P59" s="257" t="str">
        <f t="shared" si="4"/>
        <v>14408_9. other, specify</v>
      </c>
      <c r="Q59" s="28"/>
      <c r="R59" s="28"/>
      <c r="S59" s="43" t="str">
        <f>CONCATENATE(K$47, " &amp;&amp; ", '1_0_statistical_identification'!$S$164)</f>
        <v>(selected(data('q14401_1'), '1') || selected(data('q14402_1'), '1') || selected(data('q14403_1'), '1') || selected(data('q14404_1'), '1') ||selected(data('q14405_1'), '1') || selected(data('q14406_1'), '1') || selected(data('q14407_1'), '1') ) &amp;&amp; (data('valid_overall') == 1)</v>
      </c>
      <c r="T59" s="262"/>
      <c r="U59" s="262"/>
      <c r="V59" s="262"/>
      <c r="W59" s="262"/>
      <c r="X59" s="262"/>
      <c r="Y59" s="71" t="b">
        <v>1</v>
      </c>
    </row>
    <row r="60" spans="1:31" s="1" customFormat="1">
      <c r="A60" s="28"/>
      <c r="B60" s="129"/>
      <c r="C60" s="129"/>
      <c r="D60" s="28"/>
      <c r="E60" s="129"/>
      <c r="F60" s="129"/>
      <c r="G60" s="133"/>
      <c r="H60" s="133"/>
      <c r="I60" s="28"/>
      <c r="J60" s="163" t="s">
        <v>23</v>
      </c>
      <c r="K60" s="14" t="str">
        <f>CONCATENATE("selected (data('",N59,"'), '1') &amp;&amp; ",K47)</f>
        <v>selected (data('q14408_9'), '1') &amp;&amp; (selected(data('q14401_1'), '1') || selected(data('q14402_1'), '1') || selected(data('q14403_1'), '1') || selected(data('q14404_1'), '1') ||selected(data('q14405_1'), '1') || selected(data('q14406_1'), '1') || selected(data('q14407_1'), '1') )</v>
      </c>
      <c r="L60" s="19"/>
      <c r="M60" s="12"/>
      <c r="N60" s="14"/>
      <c r="O60" s="48"/>
      <c r="P60" s="31"/>
      <c r="Q60" s="31"/>
      <c r="R60" s="28"/>
      <c r="S60" s="43"/>
      <c r="T60" s="14"/>
      <c r="U60" s="14"/>
      <c r="V60" s="14"/>
      <c r="W60" s="14"/>
      <c r="X60" s="14"/>
      <c r="Y60" s="28"/>
      <c r="Z60" s="28"/>
      <c r="AA60" s="14"/>
      <c r="AB60" s="6"/>
      <c r="AC60" s="14"/>
      <c r="AD60" s="14"/>
      <c r="AE60" s="14"/>
    </row>
    <row r="61" spans="1:31" s="1" customFormat="1" ht="30">
      <c r="A61" s="28" t="str">
        <f>CONCATENATE(A59,"_other")</f>
        <v>q14408_9_other</v>
      </c>
      <c r="B61" s="129" t="s">
        <v>393</v>
      </c>
      <c r="C61" s="129"/>
      <c r="D61" s="28"/>
      <c r="E61" s="138" t="s">
        <v>1088</v>
      </c>
      <c r="F61" s="129"/>
      <c r="G61" s="133"/>
      <c r="H61" s="133"/>
      <c r="I61" s="28" t="str">
        <f>CONCATENATE(I59,"_other")</f>
        <v>14408_9_other</v>
      </c>
      <c r="J61" s="135"/>
      <c r="K61" s="14"/>
      <c r="L61" s="19" t="s">
        <v>8</v>
      </c>
      <c r="M61" s="12"/>
      <c r="N61" s="14" t="str">
        <f>CONCATENATE("q",I61)</f>
        <v>q14408_9_other</v>
      </c>
      <c r="O61" s="48" t="str">
        <f>CONCATENATE(I61,". ",E61)</f>
        <v>14408_9_other. أخرى</v>
      </c>
      <c r="P61" s="48" t="str">
        <f>CONCATENATE($I61,". ",B61)</f>
        <v xml:space="preserve">14408_9_other. Other: </v>
      </c>
      <c r="Q61" s="28"/>
      <c r="R61" s="28"/>
      <c r="S61" s="43" t="str">
        <f>CONCATENATE(K60, " &amp;&amp; ", '1_0_statistical_identification'!$S$164)</f>
        <v>selected (data('q14408_9'), '1') &amp;&amp; (selected(data('q14401_1'), '1') || selected(data('q14402_1'), '1') || selected(data('q14403_1'), '1') || selected(data('q14404_1'), '1') ||selected(data('q14405_1'), '1') || selected(data('q14406_1'), '1') || selected(data('q14407_1'), '1') ) &amp;&amp; (data('valid_overall') == 1)</v>
      </c>
      <c r="T61" s="47"/>
      <c r="U61" s="47"/>
      <c r="V61" s="47"/>
      <c r="W61" s="47"/>
      <c r="X61" s="47"/>
      <c r="Y61" s="14" t="b">
        <v>1</v>
      </c>
      <c r="Z61" s="28"/>
      <c r="AB61" s="6"/>
      <c r="AC61" s="14"/>
      <c r="AD61" s="19"/>
      <c r="AE61" s="14"/>
    </row>
    <row r="62" spans="1:31" s="1" customFormat="1">
      <c r="A62" s="28"/>
      <c r="B62" s="129"/>
      <c r="C62" s="129"/>
      <c r="D62" s="28"/>
      <c r="E62" s="138"/>
      <c r="F62" s="129"/>
      <c r="G62" s="133"/>
      <c r="I62" s="28"/>
      <c r="J62" s="163" t="s">
        <v>24</v>
      </c>
      <c r="K62" s="14"/>
      <c r="L62" s="19"/>
      <c r="M62" s="12"/>
      <c r="N62" s="14"/>
      <c r="O62" s="48"/>
      <c r="P62" s="31"/>
      <c r="Q62" s="31"/>
      <c r="R62" s="28"/>
      <c r="S62" s="43"/>
      <c r="T62" s="14"/>
      <c r="U62" s="14"/>
      <c r="V62" s="14"/>
      <c r="W62" s="14"/>
      <c r="X62" s="14"/>
      <c r="Y62" s="28"/>
      <c r="Z62" s="28"/>
      <c r="AA62" s="14"/>
      <c r="AB62" s="6"/>
      <c r="AC62" s="14"/>
      <c r="AD62" s="14"/>
      <c r="AE62" s="14"/>
    </row>
    <row r="63" spans="1:31" s="1" customFormat="1">
      <c r="A63" s="28"/>
      <c r="B63" s="129"/>
      <c r="C63" s="129"/>
      <c r="D63" s="28"/>
      <c r="E63" s="138"/>
      <c r="F63" s="129"/>
      <c r="G63" s="133"/>
      <c r="H63" s="134"/>
      <c r="I63" s="28"/>
      <c r="J63" s="267" t="s">
        <v>21</v>
      </c>
      <c r="K63" s="14"/>
      <c r="L63" s="19"/>
      <c r="M63" s="12"/>
      <c r="N63" s="14"/>
      <c r="O63" s="48"/>
      <c r="P63" s="31"/>
      <c r="Q63" s="31"/>
      <c r="R63" s="28"/>
      <c r="S63" s="43"/>
      <c r="T63" s="14"/>
      <c r="U63" s="14"/>
      <c r="V63" s="14"/>
      <c r="W63" s="14"/>
      <c r="X63" s="14"/>
      <c r="Y63" s="28"/>
      <c r="Z63" s="28"/>
      <c r="AA63" s="14"/>
      <c r="AB63" s="6"/>
      <c r="AC63" s="14"/>
      <c r="AD63" s="14"/>
      <c r="AE63" s="14"/>
    </row>
    <row r="64" spans="1:31" s="1" customFormat="1">
      <c r="A64" s="28"/>
      <c r="B64" s="129"/>
      <c r="C64" s="129"/>
      <c r="D64" s="28"/>
      <c r="E64" s="138"/>
      <c r="F64" s="129"/>
      <c r="G64" s="133"/>
      <c r="H64" s="134"/>
      <c r="I64" s="28"/>
      <c r="J64" s="135" t="s">
        <v>24</v>
      </c>
      <c r="K64" s="14"/>
      <c r="L64" s="19"/>
      <c r="M64" s="12"/>
      <c r="N64" s="14"/>
      <c r="O64" s="407"/>
      <c r="P64" s="31"/>
      <c r="Q64" s="31"/>
      <c r="R64" s="28"/>
      <c r="S64" s="43"/>
      <c r="T64" s="14"/>
      <c r="U64" s="14"/>
      <c r="V64" s="14"/>
      <c r="W64" s="14"/>
      <c r="X64" s="14"/>
      <c r="Y64" s="28"/>
      <c r="Z64" s="28"/>
      <c r="AA64" s="14"/>
      <c r="AB64" s="6"/>
      <c r="AC64" s="14"/>
      <c r="AD64" s="14"/>
      <c r="AE64" s="14"/>
    </row>
    <row r="65" spans="1:31" s="1" customFormat="1">
      <c r="A65" s="28"/>
      <c r="B65" s="129"/>
      <c r="C65" s="129"/>
      <c r="D65" s="28"/>
      <c r="E65" s="138"/>
      <c r="F65" s="129"/>
      <c r="G65" s="133"/>
      <c r="H65" s="134"/>
      <c r="I65" s="28"/>
      <c r="J65" s="135" t="s">
        <v>20</v>
      </c>
      <c r="K65" s="14"/>
      <c r="L65" s="19"/>
      <c r="M65" s="12"/>
      <c r="N65" s="14"/>
      <c r="O65" s="48"/>
      <c r="P65" s="31"/>
      <c r="Q65" s="31"/>
      <c r="R65" s="28"/>
      <c r="S65" s="43"/>
      <c r="T65" s="14"/>
      <c r="U65" s="14"/>
      <c r="V65" s="14"/>
      <c r="W65" s="14"/>
      <c r="X65" s="14"/>
      <c r="Y65" s="28"/>
      <c r="Z65" s="28"/>
      <c r="AA65" s="14"/>
      <c r="AB65" s="6"/>
      <c r="AC65" s="14"/>
      <c r="AD65" s="14"/>
      <c r="AE65" s="14"/>
    </row>
    <row r="66" spans="1:31" s="265" customFormat="1" ht="150.75">
      <c r="B66" s="279" t="s">
        <v>931</v>
      </c>
      <c r="C66" s="279"/>
      <c r="D66" s="266"/>
      <c r="E66" s="365" t="s">
        <v>1233</v>
      </c>
      <c r="F66" s="279"/>
      <c r="G66" s="266"/>
      <c r="J66" s="266"/>
      <c r="L66" s="278" t="s">
        <v>22</v>
      </c>
      <c r="M66" s="266"/>
      <c r="N66" s="266"/>
      <c r="O66" s="266" t="str">
        <f>E66</f>
        <v>في العام الماضي، هل حصلت على دعم مالي أو عيني من أفراد فى العائلة (ممن ليسوا في الأسرة المعيشية) أو من جيران، لأي من البنود التالية:</v>
      </c>
      <c r="P66" s="269" t="str">
        <f>B66</f>
        <v>In the past year, did you receive from family (not in the household) or neighbors for financial or in-kind support with any of the following?</v>
      </c>
      <c r="Q66" s="266"/>
      <c r="R66" s="266"/>
      <c r="S66" s="426"/>
    </row>
    <row r="67" spans="1:31" s="265" customFormat="1">
      <c r="B67" s="266"/>
      <c r="C67" s="266"/>
      <c r="D67" s="266"/>
      <c r="F67" s="266"/>
      <c r="G67" s="266"/>
      <c r="I67" s="265">
        <f>I50+1</f>
        <v>14409</v>
      </c>
      <c r="K67" s="267"/>
      <c r="L67" s="267"/>
      <c r="N67" s="267"/>
      <c r="O67" s="266"/>
      <c r="P67" s="266"/>
      <c r="Q67" s="266"/>
      <c r="R67" s="266"/>
      <c r="S67" s="426"/>
    </row>
    <row r="68" spans="1:31" s="265" customFormat="1" ht="47.25">
      <c r="A68" s="48" t="str">
        <f t="shared" ref="A68:A76" si="6">N68</f>
        <v>q14409_1</v>
      </c>
      <c r="B68" s="280" t="s">
        <v>933</v>
      </c>
      <c r="C68" s="280"/>
      <c r="D68" s="127" t="str">
        <f>CONCATENATE(INDEX(choices!D:D,MATCH(M68,choices!A:A,0)),"
",IF(M68=INDEX(choices!A:A,MATCH(M68,choices!A:A,0)+1),INDEX(choices!D:D,MATCH(M68,choices!A:A,0)+1),""),IF(M68=INDEX(choices!A:A,MATCH(M68,choices!A:A,0)+1), "
",""),IF(M68=INDEX(choices!A:A,MATCH(M68,choices!A:A,0)+2),INDEX(choices!D:D,MATCH(M68,choices!A:A,0)+2),""),IF(M68=INDEX(choices!A:A,MATCH(M68,choices!A:A,0)+2), "
",""),IF(M68=INDEX(choices!A:A,MATCH(M68,choices!A:A,0)+3),INDEX(choices!D:D,MATCH(M68,choices!A:A,0)+3),""),IF(M68=INDEX(choices!A:A,MATCH(M68,choices!A:A,0)+3), "
",""),IF(M68=INDEX(choices!A:A,MATCH(M68,choices!A:A,0)+4),INDEX(choices!D:D,MATCH(M68,choices!A:A,0)+4),""),IF(M68=INDEX(choices!A:A,MATCH(M68,choices!A:A,0)+4), "
",""),IF(M68=INDEX(choices!A:A,MATCH(M68,choices!A:A,0)+5),INDEX(choices!D:D,MATCH(M68,choices!A:A,0)+5),""),IF(M68=INDEX(choices!A:A,MATCH(M68,choices!A:A,0)+5), "
",""),IF(M68=INDEX(choices!A:A,MATCH(M68,choices!A:A,0)+6),INDEX(choices!D:D,MATCH(M68,choices!A:A,0)+6),""),IF(M68=INDEX(choices!A:A,MATCH(M68,choices!A:A,0)+6), "
",""),IF(M68=INDEX(choices!A:A,MATCH(M68,choices!A:A,0)+7),INDEX(choices!D:D,MATCH(M68,choices!A:A,0)+7),""),IF(M68=INDEX(choices!A:A,MATCH(M68,choices!A:A,0)+7), "
",""),IF(M68=INDEX(choices!A:A,MATCH(M68,choices!A:A,0)+8),INDEX(choices!D:D,MATCH(M68,choices!A:A,0)+8),""),IF(M68=INDEX(choices!A:A,MATCH(M68,choices!A:A,0)+8), "
",""),IF(M68=INDEX(choices!A:A,MATCH(M68,choices!A:A,0)+9),INDEX(choices!D:D,MATCH(M68,choices!A:A,0)+9),""),IF(M68=INDEX(choices!A:A,MATCH(M68,choices!A:A,0)+9), "
",""),IF(M68=INDEX(choices!A:A,MATCH(M68,choices!A:A,0)+10),INDEX(choices!D:D,MATCH(M68,choices!A:A,0)+10),""),IF(M68=INDEX(choices!A:A,MATCH(M68,choices!A:A,0)+10), "
",""),IF(M68=INDEX(choices!A:A,MATCH(M68,choices!A:A,0)+11),INDEX(choices!D:D,MATCH(M68,choices!A:A,0)+11),""),IF(M68=INDEX(choices!A:A,MATCH(M68,choices!A:A,0)+11), "
",""),IF(M68=INDEX(choices!A:A,MATCH(M68,choices!A:A,0)+12),INDEX(choices!D:D,MATCH(M68,choices!A:A,0)+12),""),IF(M68=INDEX(choices!A:A,MATCH(M68,choices!A:A,0)+12), "
",""),IF(M68=INDEX(choices!A:A,MATCH(M68,choices!A:A,0)+13),INDEX(choices!D:D,MATCH(M68,choices!A:A,0)+13),""),IF(M68=INDEX(choices!A:A,MATCH(M68,choices!A:A,0)+13), "
",""),IF(M68=INDEX(choices!A:A,MATCH(M68,choices!A:A,0)+14),INDEX(choices!D:D,MATCH(M68,choices!A:A,0)+14),""),IF(M68=INDEX(choices!A:A,MATCH(M68,choices!A:A,0)+14), "
",""),IF(M68=INDEX(choices!A:A,MATCH(M68,choices!A:A,0)+15),INDEX(choices!D:D,MATCH(M68,choices!A:A,0)+15),""),IF(M68=INDEX(choices!A:A,MATCH(M68,choices!A:A,0)+15), "
",""),IF(M68=INDEX(choices!A:A,MATCH(M68,choices!A:A,0)+16),INDEX(choices!D:D,MATCH(M68,choices!A:A,0)+16),""),IF(M68=INDEX(choices!A:A,MATCH(M68,choices!A:A,0)+16), "
",""),IF(M68=INDEX(choices!A:A,MATCH(M68,choices!A:A,0)+17),INDEX(choices!D:D,MATCH(M68,choices!A:A,0)+17),""),IF(M68=INDEX(choices!A:A,MATCH(M68,choices!A:A,0)+17), "
",""),IF(M68=INDEX(choices!A:A,MATCH(M68,choices!A:A,0)+18),INDEX(choices!D:D,MATCH(M68,choices!A:A,0)+18),""),IF(M68=INDEX(choices!A:A,MATCH(M68,choices!A:A,0)+18), "
",""),IF(M68=INDEX(choices!A:A,MATCH(M68,choices!A:A,0)+19),INDEX(choices!D:D,MATCH(M68,choices!A:A,0)+19),""),IF(M68=INDEX(choices!A:A,MATCH(M68,choices!A:A,0)+19), "
",""),IF(M68=INDEX(choices!A:A,MATCH(M68,choices!A:A,0)+20),INDEX(choices!D:D,MATCH(M68,choices!A:A,0)+20),""),IF(M68=INDEX(choices!A:A,MATCH(M68,choices!A:A,0)+20), "
",""))</f>
        <v xml:space="preserve">1. Yes
2. No
</v>
      </c>
      <c r="E68" s="366" t="s">
        <v>1234</v>
      </c>
      <c r="F68" s="280"/>
      <c r="G68" s="67" t="str">
        <f>CONCATENATE(INDEX(choices!C:C,MATCH(M68,choices!A:A,0)),"
",IF(M68=INDEX(choices!A:A,MATCH(M68,choices!A:A,0)+1),INDEX(choices!C:C,MATCH(M68,choices!A:A,0)+1),""),IF(M68=INDEX(choices!A:A,MATCH(M68,choices!A:A,0)+1), "
",""),IF(M68=INDEX(choices!A:A,MATCH(M68,choices!A:A,0)+2),INDEX(choices!C:C,MATCH(M68,choices!A:A,0)+2),""),IF(M68=INDEX(choices!A:A,MATCH(M68,choices!A:A,0)+2), "
",""),IF(M68=INDEX(choices!A:A,MATCH(M68,choices!A:A,0)+3),INDEX(choices!C:C,MATCH(M68,choices!A:A,0)+3),""),IF(M68=INDEX(choices!A:A,MATCH(M68,choices!A:A,0)+3), "
",""),IF(M68=INDEX(choices!A:A,MATCH(M68,choices!A:A,0)+4),INDEX(choices!C:C,MATCH(M68,choices!A:A,0)+4),""),IF(M68=INDEX(choices!A:A,MATCH(M68,choices!A:A,0)+4), "
",""),IF(M68=INDEX(choices!A:A,MATCH(M68,choices!A:A,0)+5),INDEX(choices!C:C,MATCH(M68,choices!A:A,0)+5),""),IF(M68=INDEX(choices!A:A,MATCH(M68,choices!A:A,0)+5), "
",""),IF(M68=INDEX(choices!A:A,MATCH(M68,choices!A:A,0)+6),INDEX(choices!C:C,MATCH(M68,choices!A:A,0)+6),""),IF(M68=INDEX(choices!A:A,MATCH(M68,choices!A:A,0)+6), "
",""),IF(M68=INDEX(choices!A:A,MATCH(M68,choices!A:A,0)+7),INDEX(choices!C:C,MATCH(M68,choices!A:A,0)+7),""),IF(M68=INDEX(choices!A:A,MATCH(M68,choices!A:A,0)+7), "
",""),IF(M68=INDEX(choices!A:A,MATCH(M68,choices!A:A,0)+8),INDEX(choices!C:C,MATCH(M68,choices!A:A,0)+8),""),IF(M68=INDEX(choices!A:A,MATCH(M68,choices!A:A,0)+8), "
",""),IF(M68=INDEX(choices!A:A,MATCH(M68,choices!A:A,0)+9),INDEX(choices!C:C,MATCH(M68,choices!A:A,0)+9),""),IF(M68=INDEX(choices!A:A,MATCH(M68,choices!A:A,0)+9), "
",""),IF(M68=INDEX(choices!A:A,MATCH(M68,choices!A:A,0)+10),INDEX(choices!C:C,MATCH(M68,choices!A:A,0)+10),""),IF(M68=INDEX(choices!A:A,MATCH(M68,choices!A:A,0)+10), "
",""),IF(M68=INDEX(choices!A:A,MATCH(M68,choices!A:A,0)+11),INDEX(choices!C:C,MATCH(M68,choices!A:A,0)+11),""),IF(M68=INDEX(choices!A:A,MATCH(M68,choices!A:A,0)+11), "
",""),IF(M68=INDEX(choices!A:A,MATCH(M68,choices!A:A,0)+12),INDEX(choices!C:C,MATCH(M68,choices!A:A,0)+12),""),IF(M68=INDEX(choices!A:A,MATCH(M68,choices!A:A,0)+12), "
",""),IF(M68=INDEX(choices!A:A,MATCH(M68,choices!A:A,0)+13),INDEX(choices!C:C,MATCH(M68,choices!A:A,0)+13),""),IF(M68=INDEX(choices!A:A,MATCH(M68,choices!A:A,0)+13), "
",""),IF(M68=INDEX(choices!A:A,MATCH(M68,choices!A:A,0)+14),INDEX(choices!C:C,MATCH(M68,choices!A:A,0)+14),""),IF(M68=INDEX(choices!A:A,MATCH(M68,choices!A:A,0)+14), "
",""),IF(M68=INDEX(choices!A:A,MATCH(M68,choices!A:A,0)+15),INDEX(choices!C:C,MATCH(M68,choices!A:A,0)+15),""),IF(M68=INDEX(choices!A:A,MATCH(M68,choices!A:A,0)+15), "
",""),IF(M68=INDEX(choices!A:A,MATCH(M68,choices!A:A,0)+16),INDEX(choices!C:C,MATCH(M68,choices!A:A,0)+16),""),IF(M68=INDEX(choices!A:A,MATCH(M68,choices!A:A,0)+16), "
",""),IF(M68=INDEX(choices!A:A,MATCH(M68,choices!A:A,0)+17),INDEX(choices!C:C,MATCH(M68,choices!A:A,0)+17),""),IF(M68=INDEX(choices!A:A,MATCH(M68,choices!A:A,0)+17), "
",""),IF(M68=INDEX(choices!A:A,MATCH(M68,choices!A:A,0)+18),INDEX(choices!C:C,MATCH(M68,choices!A:A,0)+18),""),IF(M68=INDEX(choices!A:A,MATCH(M68,choices!A:A,0)+18), "
",""),IF(M68=INDEX(choices!A:A,MATCH(M68,choices!A:A,0)+19),INDEX(choices!C:C,MATCH(M68,choices!A:A,0)+19),""),IF(M68=INDEX(choices!A:A,MATCH(M68,choices!A:A,0)+19), "
",""),IF(M68=INDEX(choices!A:A,MATCH(M68,choices!A:A,0)+20),INDEX(choices!C:C,MATCH(M68,choices!A:A,0)+20),""),IF(M68=INDEX(choices!A:A,MATCH(M68,choices!A:A,0)+20), "
","")," ")</f>
        <v xml:space="preserve">1. نعم
2. لا
 </v>
      </c>
      <c r="H68" s="272">
        <v>1</v>
      </c>
      <c r="I68" s="274" t="str">
        <f t="shared" ref="I68:I76" si="7">CONCATENATE(I$67, "_",H68)</f>
        <v>14409_1</v>
      </c>
      <c r="J68" s="267"/>
      <c r="K68" s="267"/>
      <c r="L68" s="267" t="s">
        <v>170</v>
      </c>
      <c r="M68" s="277" t="s">
        <v>17</v>
      </c>
      <c r="N68" s="64" t="str">
        <f t="shared" ref="N68:N76" si="8">CONCATENATE("q",I68)</f>
        <v>q14409_1</v>
      </c>
      <c r="O68" s="306" t="str">
        <f t="shared" ref="O68:O76" si="9">CONCATENATE(I68,". ",E68)</f>
        <v xml:space="preserve">14409_1. نفقات طبية/عيادة/مستشفى </v>
      </c>
      <c r="P68" s="257" t="str">
        <f t="shared" ref="P68:P76" si="10">CONCATENATE(I68,". ",B68)</f>
        <v>14409_1. Medical/Clinic/Hospital expense</v>
      </c>
      <c r="Q68" s="28"/>
      <c r="R68" s="28"/>
      <c r="S68" s="427" t="str">
        <f t="shared" ref="S68:S76" si="11">CONCATENATE("data('valid_overall') ==1 ")</f>
        <v xml:space="preserve">data('valid_overall') ==1 </v>
      </c>
      <c r="T68" s="262"/>
      <c r="U68" s="262"/>
      <c r="V68" s="262"/>
      <c r="W68" s="262"/>
      <c r="X68" s="262"/>
      <c r="Y68" s="1" t="b">
        <v>1</v>
      </c>
    </row>
    <row r="69" spans="1:31" s="265" customFormat="1" ht="45">
      <c r="A69" s="48" t="str">
        <f t="shared" si="6"/>
        <v>q14409_2</v>
      </c>
      <c r="B69" s="280" t="s">
        <v>934</v>
      </c>
      <c r="C69" s="280"/>
      <c r="D69" s="127" t="str">
        <f>CONCATENATE(INDEX(choices!D:D,MATCH(M69,choices!A:A,0)),"
",IF(M69=INDEX(choices!A:A,MATCH(M69,choices!A:A,0)+1),INDEX(choices!D:D,MATCH(M69,choices!A:A,0)+1),""),IF(M69=INDEX(choices!A:A,MATCH(M69,choices!A:A,0)+1), "
",""),IF(M69=INDEX(choices!A:A,MATCH(M69,choices!A:A,0)+2),INDEX(choices!D:D,MATCH(M69,choices!A:A,0)+2),""),IF(M69=INDEX(choices!A:A,MATCH(M69,choices!A:A,0)+2), "
",""),IF(M69=INDEX(choices!A:A,MATCH(M69,choices!A:A,0)+3),INDEX(choices!D:D,MATCH(M69,choices!A:A,0)+3),""),IF(M69=INDEX(choices!A:A,MATCH(M69,choices!A:A,0)+3), "
",""),IF(M69=INDEX(choices!A:A,MATCH(M69,choices!A:A,0)+4),INDEX(choices!D:D,MATCH(M69,choices!A:A,0)+4),""),IF(M69=INDEX(choices!A:A,MATCH(M69,choices!A:A,0)+4), "
",""),IF(M69=INDEX(choices!A:A,MATCH(M69,choices!A:A,0)+5),INDEX(choices!D:D,MATCH(M69,choices!A:A,0)+5),""),IF(M69=INDEX(choices!A:A,MATCH(M69,choices!A:A,0)+5), "
",""),IF(M69=INDEX(choices!A:A,MATCH(M69,choices!A:A,0)+6),INDEX(choices!D:D,MATCH(M69,choices!A:A,0)+6),""),IF(M69=INDEX(choices!A:A,MATCH(M69,choices!A:A,0)+6), "
",""),IF(M69=INDEX(choices!A:A,MATCH(M69,choices!A:A,0)+7),INDEX(choices!D:D,MATCH(M69,choices!A:A,0)+7),""),IF(M69=INDEX(choices!A:A,MATCH(M69,choices!A:A,0)+7), "
",""),IF(M69=INDEX(choices!A:A,MATCH(M69,choices!A:A,0)+8),INDEX(choices!D:D,MATCH(M69,choices!A:A,0)+8),""),IF(M69=INDEX(choices!A:A,MATCH(M69,choices!A:A,0)+8), "
",""),IF(M69=INDEX(choices!A:A,MATCH(M69,choices!A:A,0)+9),INDEX(choices!D:D,MATCH(M69,choices!A:A,0)+9),""),IF(M69=INDEX(choices!A:A,MATCH(M69,choices!A:A,0)+9), "
",""),IF(M69=INDEX(choices!A:A,MATCH(M69,choices!A:A,0)+10),INDEX(choices!D:D,MATCH(M69,choices!A:A,0)+10),""),IF(M69=INDEX(choices!A:A,MATCH(M69,choices!A:A,0)+10), "
",""),IF(M69=INDEX(choices!A:A,MATCH(M69,choices!A:A,0)+11),INDEX(choices!D:D,MATCH(M69,choices!A:A,0)+11),""),IF(M69=INDEX(choices!A:A,MATCH(M69,choices!A:A,0)+11), "
",""),IF(M69=INDEX(choices!A:A,MATCH(M69,choices!A:A,0)+12),INDEX(choices!D:D,MATCH(M69,choices!A:A,0)+12),""),IF(M69=INDEX(choices!A:A,MATCH(M69,choices!A:A,0)+12), "
",""),IF(M69=INDEX(choices!A:A,MATCH(M69,choices!A:A,0)+13),INDEX(choices!D:D,MATCH(M69,choices!A:A,0)+13),""),IF(M69=INDEX(choices!A:A,MATCH(M69,choices!A:A,0)+13), "
",""),IF(M69=INDEX(choices!A:A,MATCH(M69,choices!A:A,0)+14),INDEX(choices!D:D,MATCH(M69,choices!A:A,0)+14),""),IF(M69=INDEX(choices!A:A,MATCH(M69,choices!A:A,0)+14), "
",""),IF(M69=INDEX(choices!A:A,MATCH(M69,choices!A:A,0)+15),INDEX(choices!D:D,MATCH(M69,choices!A:A,0)+15),""),IF(M69=INDEX(choices!A:A,MATCH(M69,choices!A:A,0)+15), "
",""),IF(M69=INDEX(choices!A:A,MATCH(M69,choices!A:A,0)+16),INDEX(choices!D:D,MATCH(M69,choices!A:A,0)+16),""),IF(M69=INDEX(choices!A:A,MATCH(M69,choices!A:A,0)+16), "
",""),IF(M69=INDEX(choices!A:A,MATCH(M69,choices!A:A,0)+17),INDEX(choices!D:D,MATCH(M69,choices!A:A,0)+17),""),IF(M69=INDEX(choices!A:A,MATCH(M69,choices!A:A,0)+17), "
",""),IF(M69=INDEX(choices!A:A,MATCH(M69,choices!A:A,0)+18),INDEX(choices!D:D,MATCH(M69,choices!A:A,0)+18),""),IF(M69=INDEX(choices!A:A,MATCH(M69,choices!A:A,0)+18), "
",""),IF(M69=INDEX(choices!A:A,MATCH(M69,choices!A:A,0)+19),INDEX(choices!D:D,MATCH(M69,choices!A:A,0)+19),""),IF(M69=INDEX(choices!A:A,MATCH(M69,choices!A:A,0)+19), "
",""),IF(M69=INDEX(choices!A:A,MATCH(M69,choices!A:A,0)+20),INDEX(choices!D:D,MATCH(M69,choices!A:A,0)+20),""),IF(M69=INDEX(choices!A:A,MATCH(M69,choices!A:A,0)+20), "
",""))</f>
        <v xml:space="preserve">1. Yes
2. No
</v>
      </c>
      <c r="E69" s="366" t="s">
        <v>1235</v>
      </c>
      <c r="F69" s="280"/>
      <c r="G69" s="67" t="str">
        <f>CONCATENATE(INDEX(choices!C:C,MATCH(M69,choices!A:A,0)),"
",IF(M69=INDEX(choices!A:A,MATCH(M69,choices!A:A,0)+1),INDEX(choices!C:C,MATCH(M69,choices!A:A,0)+1),""),IF(M69=INDEX(choices!A:A,MATCH(M69,choices!A:A,0)+1), "
",""),IF(M69=INDEX(choices!A:A,MATCH(M69,choices!A:A,0)+2),INDEX(choices!C:C,MATCH(M69,choices!A:A,0)+2),""),IF(M69=INDEX(choices!A:A,MATCH(M69,choices!A:A,0)+2), "
",""),IF(M69=INDEX(choices!A:A,MATCH(M69,choices!A:A,0)+3),INDEX(choices!C:C,MATCH(M69,choices!A:A,0)+3),""),IF(M69=INDEX(choices!A:A,MATCH(M69,choices!A:A,0)+3), "
",""),IF(M69=INDEX(choices!A:A,MATCH(M69,choices!A:A,0)+4),INDEX(choices!C:C,MATCH(M69,choices!A:A,0)+4),""),IF(M69=INDEX(choices!A:A,MATCH(M69,choices!A:A,0)+4), "
",""),IF(M69=INDEX(choices!A:A,MATCH(M69,choices!A:A,0)+5),INDEX(choices!C:C,MATCH(M69,choices!A:A,0)+5),""),IF(M69=INDEX(choices!A:A,MATCH(M69,choices!A:A,0)+5), "
",""),IF(M69=INDEX(choices!A:A,MATCH(M69,choices!A:A,0)+6),INDEX(choices!C:C,MATCH(M69,choices!A:A,0)+6),""),IF(M69=INDEX(choices!A:A,MATCH(M69,choices!A:A,0)+6), "
",""),IF(M69=INDEX(choices!A:A,MATCH(M69,choices!A:A,0)+7),INDEX(choices!C:C,MATCH(M69,choices!A:A,0)+7),""),IF(M69=INDEX(choices!A:A,MATCH(M69,choices!A:A,0)+7), "
",""),IF(M69=INDEX(choices!A:A,MATCH(M69,choices!A:A,0)+8),INDEX(choices!C:C,MATCH(M69,choices!A:A,0)+8),""),IF(M69=INDEX(choices!A:A,MATCH(M69,choices!A:A,0)+8), "
",""),IF(M69=INDEX(choices!A:A,MATCH(M69,choices!A:A,0)+9),INDEX(choices!C:C,MATCH(M69,choices!A:A,0)+9),""),IF(M69=INDEX(choices!A:A,MATCH(M69,choices!A:A,0)+9), "
",""),IF(M69=INDEX(choices!A:A,MATCH(M69,choices!A:A,0)+10),INDEX(choices!C:C,MATCH(M69,choices!A:A,0)+10),""),IF(M69=INDEX(choices!A:A,MATCH(M69,choices!A:A,0)+10), "
",""),IF(M69=INDEX(choices!A:A,MATCH(M69,choices!A:A,0)+11),INDEX(choices!C:C,MATCH(M69,choices!A:A,0)+11),""),IF(M69=INDEX(choices!A:A,MATCH(M69,choices!A:A,0)+11), "
",""),IF(M69=INDEX(choices!A:A,MATCH(M69,choices!A:A,0)+12),INDEX(choices!C:C,MATCH(M69,choices!A:A,0)+12),""),IF(M69=INDEX(choices!A:A,MATCH(M69,choices!A:A,0)+12), "
",""),IF(M69=INDEX(choices!A:A,MATCH(M69,choices!A:A,0)+13),INDEX(choices!C:C,MATCH(M69,choices!A:A,0)+13),""),IF(M69=INDEX(choices!A:A,MATCH(M69,choices!A:A,0)+13), "
",""),IF(M69=INDEX(choices!A:A,MATCH(M69,choices!A:A,0)+14),INDEX(choices!C:C,MATCH(M69,choices!A:A,0)+14),""),IF(M69=INDEX(choices!A:A,MATCH(M69,choices!A:A,0)+14), "
",""),IF(M69=INDEX(choices!A:A,MATCH(M69,choices!A:A,0)+15),INDEX(choices!C:C,MATCH(M69,choices!A:A,0)+15),""),IF(M69=INDEX(choices!A:A,MATCH(M69,choices!A:A,0)+15), "
",""),IF(M69=INDEX(choices!A:A,MATCH(M69,choices!A:A,0)+16),INDEX(choices!C:C,MATCH(M69,choices!A:A,0)+16),""),IF(M69=INDEX(choices!A:A,MATCH(M69,choices!A:A,0)+16), "
",""),IF(M69=INDEX(choices!A:A,MATCH(M69,choices!A:A,0)+17),INDEX(choices!C:C,MATCH(M69,choices!A:A,0)+17),""),IF(M69=INDEX(choices!A:A,MATCH(M69,choices!A:A,0)+17), "
",""),IF(M69=INDEX(choices!A:A,MATCH(M69,choices!A:A,0)+18),INDEX(choices!C:C,MATCH(M69,choices!A:A,0)+18),""),IF(M69=INDEX(choices!A:A,MATCH(M69,choices!A:A,0)+18), "
",""),IF(M69=INDEX(choices!A:A,MATCH(M69,choices!A:A,0)+19),INDEX(choices!C:C,MATCH(M69,choices!A:A,0)+19),""),IF(M69=INDEX(choices!A:A,MATCH(M69,choices!A:A,0)+19), "
",""),IF(M69=INDEX(choices!A:A,MATCH(M69,choices!A:A,0)+20),INDEX(choices!C:C,MATCH(M69,choices!A:A,0)+20),""),IF(M69=INDEX(choices!A:A,MATCH(M69,choices!A:A,0)+20), "
","")," ")</f>
        <v xml:space="preserve">1. نعم
2. لا
 </v>
      </c>
      <c r="H69" s="266">
        <f t="shared" ref="H69:H76" si="12">H68+1</f>
        <v>2</v>
      </c>
      <c r="I69" s="274" t="str">
        <f t="shared" si="7"/>
        <v>14409_2</v>
      </c>
      <c r="J69" s="267"/>
      <c r="K69" s="267"/>
      <c r="L69" s="267" t="s">
        <v>170</v>
      </c>
      <c r="M69" s="277" t="s">
        <v>17</v>
      </c>
      <c r="N69" s="64" t="str">
        <f t="shared" si="8"/>
        <v>q14409_2</v>
      </c>
      <c r="O69" s="306" t="str">
        <f t="shared" si="9"/>
        <v>14409_2. ملابس</v>
      </c>
      <c r="P69" s="257" t="str">
        <f t="shared" si="10"/>
        <v>14409_2. Clothing</v>
      </c>
      <c r="Q69" s="28"/>
      <c r="R69" s="28"/>
      <c r="S69" s="427" t="str">
        <f t="shared" si="11"/>
        <v xml:space="preserve">data('valid_overall') ==1 </v>
      </c>
      <c r="T69" s="262"/>
      <c r="U69" s="262"/>
      <c r="V69" s="262"/>
      <c r="W69" s="262"/>
      <c r="X69" s="262"/>
      <c r="Y69" s="1" t="b">
        <v>1</v>
      </c>
    </row>
    <row r="70" spans="1:31" s="265" customFormat="1" ht="57.75">
      <c r="A70" s="48" t="str">
        <f t="shared" si="6"/>
        <v>q14409_3</v>
      </c>
      <c r="B70" s="280" t="s">
        <v>935</v>
      </c>
      <c r="C70" s="280"/>
      <c r="D70" s="127" t="str">
        <f>CONCATENATE(INDEX(choices!D:D,MATCH(M70,choices!A:A,0)),"
",IF(M70=INDEX(choices!A:A,MATCH(M70,choices!A:A,0)+1),INDEX(choices!D:D,MATCH(M70,choices!A:A,0)+1),""),IF(M70=INDEX(choices!A:A,MATCH(M70,choices!A:A,0)+1), "
",""),IF(M70=INDEX(choices!A:A,MATCH(M70,choices!A:A,0)+2),INDEX(choices!D:D,MATCH(M70,choices!A:A,0)+2),""),IF(M70=INDEX(choices!A:A,MATCH(M70,choices!A:A,0)+2), "
",""),IF(M70=INDEX(choices!A:A,MATCH(M70,choices!A:A,0)+3),INDEX(choices!D:D,MATCH(M70,choices!A:A,0)+3),""),IF(M70=INDEX(choices!A:A,MATCH(M70,choices!A:A,0)+3), "
",""),IF(M70=INDEX(choices!A:A,MATCH(M70,choices!A:A,0)+4),INDEX(choices!D:D,MATCH(M70,choices!A:A,0)+4),""),IF(M70=INDEX(choices!A:A,MATCH(M70,choices!A:A,0)+4), "
",""),IF(M70=INDEX(choices!A:A,MATCH(M70,choices!A:A,0)+5),INDEX(choices!D:D,MATCH(M70,choices!A:A,0)+5),""),IF(M70=INDEX(choices!A:A,MATCH(M70,choices!A:A,0)+5), "
",""),IF(M70=INDEX(choices!A:A,MATCH(M70,choices!A:A,0)+6),INDEX(choices!D:D,MATCH(M70,choices!A:A,0)+6),""),IF(M70=INDEX(choices!A:A,MATCH(M70,choices!A:A,0)+6), "
",""),IF(M70=INDEX(choices!A:A,MATCH(M70,choices!A:A,0)+7),INDEX(choices!D:D,MATCH(M70,choices!A:A,0)+7),""),IF(M70=INDEX(choices!A:A,MATCH(M70,choices!A:A,0)+7), "
",""),IF(M70=INDEX(choices!A:A,MATCH(M70,choices!A:A,0)+8),INDEX(choices!D:D,MATCH(M70,choices!A:A,0)+8),""),IF(M70=INDEX(choices!A:A,MATCH(M70,choices!A:A,0)+8), "
",""),IF(M70=INDEX(choices!A:A,MATCH(M70,choices!A:A,0)+9),INDEX(choices!D:D,MATCH(M70,choices!A:A,0)+9),""),IF(M70=INDEX(choices!A:A,MATCH(M70,choices!A:A,0)+9), "
",""),IF(M70=INDEX(choices!A:A,MATCH(M70,choices!A:A,0)+10),INDEX(choices!D:D,MATCH(M70,choices!A:A,0)+10),""),IF(M70=INDEX(choices!A:A,MATCH(M70,choices!A:A,0)+10), "
",""),IF(M70=INDEX(choices!A:A,MATCH(M70,choices!A:A,0)+11),INDEX(choices!D:D,MATCH(M70,choices!A:A,0)+11),""),IF(M70=INDEX(choices!A:A,MATCH(M70,choices!A:A,0)+11), "
",""),IF(M70=INDEX(choices!A:A,MATCH(M70,choices!A:A,0)+12),INDEX(choices!D:D,MATCH(M70,choices!A:A,0)+12),""),IF(M70=INDEX(choices!A:A,MATCH(M70,choices!A:A,0)+12), "
",""),IF(M70=INDEX(choices!A:A,MATCH(M70,choices!A:A,0)+13),INDEX(choices!D:D,MATCH(M70,choices!A:A,0)+13),""),IF(M70=INDEX(choices!A:A,MATCH(M70,choices!A:A,0)+13), "
",""),IF(M70=INDEX(choices!A:A,MATCH(M70,choices!A:A,0)+14),INDEX(choices!D:D,MATCH(M70,choices!A:A,0)+14),""),IF(M70=INDEX(choices!A:A,MATCH(M70,choices!A:A,0)+14), "
",""),IF(M70=INDEX(choices!A:A,MATCH(M70,choices!A:A,0)+15),INDEX(choices!D:D,MATCH(M70,choices!A:A,0)+15),""),IF(M70=INDEX(choices!A:A,MATCH(M70,choices!A:A,0)+15), "
",""),IF(M70=INDEX(choices!A:A,MATCH(M70,choices!A:A,0)+16),INDEX(choices!D:D,MATCH(M70,choices!A:A,0)+16),""),IF(M70=INDEX(choices!A:A,MATCH(M70,choices!A:A,0)+16), "
",""),IF(M70=INDEX(choices!A:A,MATCH(M70,choices!A:A,0)+17),INDEX(choices!D:D,MATCH(M70,choices!A:A,0)+17),""),IF(M70=INDEX(choices!A:A,MATCH(M70,choices!A:A,0)+17), "
",""),IF(M70=INDEX(choices!A:A,MATCH(M70,choices!A:A,0)+18),INDEX(choices!D:D,MATCH(M70,choices!A:A,0)+18),""),IF(M70=INDEX(choices!A:A,MATCH(M70,choices!A:A,0)+18), "
",""),IF(M70=INDEX(choices!A:A,MATCH(M70,choices!A:A,0)+19),INDEX(choices!D:D,MATCH(M70,choices!A:A,0)+19),""),IF(M70=INDEX(choices!A:A,MATCH(M70,choices!A:A,0)+19), "
",""),IF(M70=INDEX(choices!A:A,MATCH(M70,choices!A:A,0)+20),INDEX(choices!D:D,MATCH(M70,choices!A:A,0)+20),""),IF(M70=INDEX(choices!A:A,MATCH(M70,choices!A:A,0)+20), "
",""))</f>
        <v xml:space="preserve">1. Yes
2. No
</v>
      </c>
      <c r="E70" s="366" t="s">
        <v>1236</v>
      </c>
      <c r="F70" s="280"/>
      <c r="G70" s="67" t="str">
        <f>CONCATENATE(INDEX(choices!C:C,MATCH(M70,choices!A:A,0)),"
",IF(M70=INDEX(choices!A:A,MATCH(M70,choices!A:A,0)+1),INDEX(choices!C:C,MATCH(M70,choices!A:A,0)+1),""),IF(M70=INDEX(choices!A:A,MATCH(M70,choices!A:A,0)+1), "
",""),IF(M70=INDEX(choices!A:A,MATCH(M70,choices!A:A,0)+2),INDEX(choices!C:C,MATCH(M70,choices!A:A,0)+2),""),IF(M70=INDEX(choices!A:A,MATCH(M70,choices!A:A,0)+2), "
",""),IF(M70=INDEX(choices!A:A,MATCH(M70,choices!A:A,0)+3),INDEX(choices!C:C,MATCH(M70,choices!A:A,0)+3),""),IF(M70=INDEX(choices!A:A,MATCH(M70,choices!A:A,0)+3), "
",""),IF(M70=INDEX(choices!A:A,MATCH(M70,choices!A:A,0)+4),INDEX(choices!C:C,MATCH(M70,choices!A:A,0)+4),""),IF(M70=INDEX(choices!A:A,MATCH(M70,choices!A:A,0)+4), "
",""),IF(M70=INDEX(choices!A:A,MATCH(M70,choices!A:A,0)+5),INDEX(choices!C:C,MATCH(M70,choices!A:A,0)+5),""),IF(M70=INDEX(choices!A:A,MATCH(M70,choices!A:A,0)+5), "
",""),IF(M70=INDEX(choices!A:A,MATCH(M70,choices!A:A,0)+6),INDEX(choices!C:C,MATCH(M70,choices!A:A,0)+6),""),IF(M70=INDEX(choices!A:A,MATCH(M70,choices!A:A,0)+6), "
",""),IF(M70=INDEX(choices!A:A,MATCH(M70,choices!A:A,0)+7),INDEX(choices!C:C,MATCH(M70,choices!A:A,0)+7),""),IF(M70=INDEX(choices!A:A,MATCH(M70,choices!A:A,0)+7), "
",""),IF(M70=INDEX(choices!A:A,MATCH(M70,choices!A:A,0)+8),INDEX(choices!C:C,MATCH(M70,choices!A:A,0)+8),""),IF(M70=INDEX(choices!A:A,MATCH(M70,choices!A:A,0)+8), "
",""),IF(M70=INDEX(choices!A:A,MATCH(M70,choices!A:A,0)+9),INDEX(choices!C:C,MATCH(M70,choices!A:A,0)+9),""),IF(M70=INDEX(choices!A:A,MATCH(M70,choices!A:A,0)+9), "
",""),IF(M70=INDEX(choices!A:A,MATCH(M70,choices!A:A,0)+10),INDEX(choices!C:C,MATCH(M70,choices!A:A,0)+10),""),IF(M70=INDEX(choices!A:A,MATCH(M70,choices!A:A,0)+10), "
",""),IF(M70=INDEX(choices!A:A,MATCH(M70,choices!A:A,0)+11),INDEX(choices!C:C,MATCH(M70,choices!A:A,0)+11),""),IF(M70=INDEX(choices!A:A,MATCH(M70,choices!A:A,0)+11), "
",""),IF(M70=INDEX(choices!A:A,MATCH(M70,choices!A:A,0)+12),INDEX(choices!C:C,MATCH(M70,choices!A:A,0)+12),""),IF(M70=INDEX(choices!A:A,MATCH(M70,choices!A:A,0)+12), "
",""),IF(M70=INDEX(choices!A:A,MATCH(M70,choices!A:A,0)+13),INDEX(choices!C:C,MATCH(M70,choices!A:A,0)+13),""),IF(M70=INDEX(choices!A:A,MATCH(M70,choices!A:A,0)+13), "
",""),IF(M70=INDEX(choices!A:A,MATCH(M70,choices!A:A,0)+14),INDEX(choices!C:C,MATCH(M70,choices!A:A,0)+14),""),IF(M70=INDEX(choices!A:A,MATCH(M70,choices!A:A,0)+14), "
",""),IF(M70=INDEX(choices!A:A,MATCH(M70,choices!A:A,0)+15),INDEX(choices!C:C,MATCH(M70,choices!A:A,0)+15),""),IF(M70=INDEX(choices!A:A,MATCH(M70,choices!A:A,0)+15), "
",""),IF(M70=INDEX(choices!A:A,MATCH(M70,choices!A:A,0)+16),INDEX(choices!C:C,MATCH(M70,choices!A:A,0)+16),""),IF(M70=INDEX(choices!A:A,MATCH(M70,choices!A:A,0)+16), "
",""),IF(M70=INDEX(choices!A:A,MATCH(M70,choices!A:A,0)+17),INDEX(choices!C:C,MATCH(M70,choices!A:A,0)+17),""),IF(M70=INDEX(choices!A:A,MATCH(M70,choices!A:A,0)+17), "
",""),IF(M70=INDEX(choices!A:A,MATCH(M70,choices!A:A,0)+18),INDEX(choices!C:C,MATCH(M70,choices!A:A,0)+18),""),IF(M70=INDEX(choices!A:A,MATCH(M70,choices!A:A,0)+18), "
",""),IF(M70=INDEX(choices!A:A,MATCH(M70,choices!A:A,0)+19),INDEX(choices!C:C,MATCH(M70,choices!A:A,0)+19),""),IF(M70=INDEX(choices!A:A,MATCH(M70,choices!A:A,0)+19), "
",""),IF(M70=INDEX(choices!A:A,MATCH(M70,choices!A:A,0)+20),INDEX(choices!C:C,MATCH(M70,choices!A:A,0)+20),""),IF(M70=INDEX(choices!A:A,MATCH(M70,choices!A:A,0)+20), "
","")," ")</f>
        <v xml:space="preserve">1. نعم
2. لا
 </v>
      </c>
      <c r="H70" s="266">
        <f t="shared" si="12"/>
        <v>3</v>
      </c>
      <c r="I70" s="274" t="str">
        <f t="shared" si="7"/>
        <v>14409_3</v>
      </c>
      <c r="J70" s="267"/>
      <c r="K70" s="267"/>
      <c r="L70" s="267" t="s">
        <v>170</v>
      </c>
      <c r="M70" s="277" t="s">
        <v>17</v>
      </c>
      <c r="N70" s="64" t="str">
        <f t="shared" si="8"/>
        <v>q14409_3</v>
      </c>
      <c r="O70" s="306" t="str">
        <f t="shared" si="9"/>
        <v>14409_3. غذاء (بما في ذلك أثناء الاحتفالات الدينية)</v>
      </c>
      <c r="P70" s="257" t="str">
        <f t="shared" si="10"/>
        <v>14409_3. Food (including during religious celebrations)</v>
      </c>
      <c r="Q70" s="28"/>
      <c r="R70" s="28"/>
      <c r="S70" s="427" t="str">
        <f t="shared" si="11"/>
        <v xml:space="preserve">data('valid_overall') ==1 </v>
      </c>
      <c r="T70" s="262"/>
      <c r="U70" s="262"/>
      <c r="V70" s="262"/>
      <c r="W70" s="262"/>
      <c r="X70" s="262"/>
      <c r="Y70" s="71" t="b">
        <v>1</v>
      </c>
    </row>
    <row r="71" spans="1:31" s="265" customFormat="1" ht="45">
      <c r="A71" s="48" t="str">
        <f t="shared" si="6"/>
        <v>q14409_4</v>
      </c>
      <c r="B71" s="280" t="s">
        <v>936</v>
      </c>
      <c r="C71" s="280"/>
      <c r="D71" s="127" t="str">
        <f>CONCATENATE(INDEX(choices!D:D,MATCH(M71,choices!A:A,0)),"
",IF(M71=INDEX(choices!A:A,MATCH(M71,choices!A:A,0)+1),INDEX(choices!D:D,MATCH(M71,choices!A:A,0)+1),""),IF(M71=INDEX(choices!A:A,MATCH(M71,choices!A:A,0)+1), "
",""),IF(M71=INDEX(choices!A:A,MATCH(M71,choices!A:A,0)+2),INDEX(choices!D:D,MATCH(M71,choices!A:A,0)+2),""),IF(M71=INDEX(choices!A:A,MATCH(M71,choices!A:A,0)+2), "
",""),IF(M71=INDEX(choices!A:A,MATCH(M71,choices!A:A,0)+3),INDEX(choices!D:D,MATCH(M71,choices!A:A,0)+3),""),IF(M71=INDEX(choices!A:A,MATCH(M71,choices!A:A,0)+3), "
",""),IF(M71=INDEX(choices!A:A,MATCH(M71,choices!A:A,0)+4),INDEX(choices!D:D,MATCH(M71,choices!A:A,0)+4),""),IF(M71=INDEX(choices!A:A,MATCH(M71,choices!A:A,0)+4), "
",""),IF(M71=INDEX(choices!A:A,MATCH(M71,choices!A:A,0)+5),INDEX(choices!D:D,MATCH(M71,choices!A:A,0)+5),""),IF(M71=INDEX(choices!A:A,MATCH(M71,choices!A:A,0)+5), "
",""),IF(M71=INDEX(choices!A:A,MATCH(M71,choices!A:A,0)+6),INDEX(choices!D:D,MATCH(M71,choices!A:A,0)+6),""),IF(M71=INDEX(choices!A:A,MATCH(M71,choices!A:A,0)+6), "
",""),IF(M71=INDEX(choices!A:A,MATCH(M71,choices!A:A,0)+7),INDEX(choices!D:D,MATCH(M71,choices!A:A,0)+7),""),IF(M71=INDEX(choices!A:A,MATCH(M71,choices!A:A,0)+7), "
",""),IF(M71=INDEX(choices!A:A,MATCH(M71,choices!A:A,0)+8),INDEX(choices!D:D,MATCH(M71,choices!A:A,0)+8),""),IF(M71=INDEX(choices!A:A,MATCH(M71,choices!A:A,0)+8), "
",""),IF(M71=INDEX(choices!A:A,MATCH(M71,choices!A:A,0)+9),INDEX(choices!D:D,MATCH(M71,choices!A:A,0)+9),""),IF(M71=INDEX(choices!A:A,MATCH(M71,choices!A:A,0)+9), "
",""),IF(M71=INDEX(choices!A:A,MATCH(M71,choices!A:A,0)+10),INDEX(choices!D:D,MATCH(M71,choices!A:A,0)+10),""),IF(M71=INDEX(choices!A:A,MATCH(M71,choices!A:A,0)+10), "
",""),IF(M71=INDEX(choices!A:A,MATCH(M71,choices!A:A,0)+11),INDEX(choices!D:D,MATCH(M71,choices!A:A,0)+11),""),IF(M71=INDEX(choices!A:A,MATCH(M71,choices!A:A,0)+11), "
",""),IF(M71=INDEX(choices!A:A,MATCH(M71,choices!A:A,0)+12),INDEX(choices!D:D,MATCH(M71,choices!A:A,0)+12),""),IF(M71=INDEX(choices!A:A,MATCH(M71,choices!A:A,0)+12), "
",""),IF(M71=INDEX(choices!A:A,MATCH(M71,choices!A:A,0)+13),INDEX(choices!D:D,MATCH(M71,choices!A:A,0)+13),""),IF(M71=INDEX(choices!A:A,MATCH(M71,choices!A:A,0)+13), "
",""),IF(M71=INDEX(choices!A:A,MATCH(M71,choices!A:A,0)+14),INDEX(choices!D:D,MATCH(M71,choices!A:A,0)+14),""),IF(M71=INDEX(choices!A:A,MATCH(M71,choices!A:A,0)+14), "
",""),IF(M71=INDEX(choices!A:A,MATCH(M71,choices!A:A,0)+15),INDEX(choices!D:D,MATCH(M71,choices!A:A,0)+15),""),IF(M71=INDEX(choices!A:A,MATCH(M71,choices!A:A,0)+15), "
",""),IF(M71=INDEX(choices!A:A,MATCH(M71,choices!A:A,0)+16),INDEX(choices!D:D,MATCH(M71,choices!A:A,0)+16),""),IF(M71=INDEX(choices!A:A,MATCH(M71,choices!A:A,0)+16), "
",""),IF(M71=INDEX(choices!A:A,MATCH(M71,choices!A:A,0)+17),INDEX(choices!D:D,MATCH(M71,choices!A:A,0)+17),""),IF(M71=INDEX(choices!A:A,MATCH(M71,choices!A:A,0)+17), "
",""),IF(M71=INDEX(choices!A:A,MATCH(M71,choices!A:A,0)+18),INDEX(choices!D:D,MATCH(M71,choices!A:A,0)+18),""),IF(M71=INDEX(choices!A:A,MATCH(M71,choices!A:A,0)+18), "
",""),IF(M71=INDEX(choices!A:A,MATCH(M71,choices!A:A,0)+19),INDEX(choices!D:D,MATCH(M71,choices!A:A,0)+19),""),IF(M71=INDEX(choices!A:A,MATCH(M71,choices!A:A,0)+19), "
",""),IF(M71=INDEX(choices!A:A,MATCH(M71,choices!A:A,0)+20),INDEX(choices!D:D,MATCH(M71,choices!A:A,0)+20),""),IF(M71=INDEX(choices!A:A,MATCH(M71,choices!A:A,0)+20), "
",""))</f>
        <v xml:space="preserve">1. Yes
2. No
</v>
      </c>
      <c r="E71" s="366" t="s">
        <v>1237</v>
      </c>
      <c r="F71" s="280"/>
      <c r="G71" s="67" t="str">
        <f>CONCATENATE(INDEX(choices!C:C,MATCH(M71,choices!A:A,0)),"
",IF(M71=INDEX(choices!A:A,MATCH(M71,choices!A:A,0)+1),INDEX(choices!C:C,MATCH(M71,choices!A:A,0)+1),""),IF(M71=INDEX(choices!A:A,MATCH(M71,choices!A:A,0)+1), "
",""),IF(M71=INDEX(choices!A:A,MATCH(M71,choices!A:A,0)+2),INDEX(choices!C:C,MATCH(M71,choices!A:A,0)+2),""),IF(M71=INDEX(choices!A:A,MATCH(M71,choices!A:A,0)+2), "
",""),IF(M71=INDEX(choices!A:A,MATCH(M71,choices!A:A,0)+3),INDEX(choices!C:C,MATCH(M71,choices!A:A,0)+3),""),IF(M71=INDEX(choices!A:A,MATCH(M71,choices!A:A,0)+3), "
",""),IF(M71=INDEX(choices!A:A,MATCH(M71,choices!A:A,0)+4),INDEX(choices!C:C,MATCH(M71,choices!A:A,0)+4),""),IF(M71=INDEX(choices!A:A,MATCH(M71,choices!A:A,0)+4), "
",""),IF(M71=INDEX(choices!A:A,MATCH(M71,choices!A:A,0)+5),INDEX(choices!C:C,MATCH(M71,choices!A:A,0)+5),""),IF(M71=INDEX(choices!A:A,MATCH(M71,choices!A:A,0)+5), "
",""),IF(M71=INDEX(choices!A:A,MATCH(M71,choices!A:A,0)+6),INDEX(choices!C:C,MATCH(M71,choices!A:A,0)+6),""),IF(M71=INDEX(choices!A:A,MATCH(M71,choices!A:A,0)+6), "
",""),IF(M71=INDEX(choices!A:A,MATCH(M71,choices!A:A,0)+7),INDEX(choices!C:C,MATCH(M71,choices!A:A,0)+7),""),IF(M71=INDEX(choices!A:A,MATCH(M71,choices!A:A,0)+7), "
",""),IF(M71=INDEX(choices!A:A,MATCH(M71,choices!A:A,0)+8),INDEX(choices!C:C,MATCH(M71,choices!A:A,0)+8),""),IF(M71=INDEX(choices!A:A,MATCH(M71,choices!A:A,0)+8), "
",""),IF(M71=INDEX(choices!A:A,MATCH(M71,choices!A:A,0)+9),INDEX(choices!C:C,MATCH(M71,choices!A:A,0)+9),""),IF(M71=INDEX(choices!A:A,MATCH(M71,choices!A:A,0)+9), "
",""),IF(M71=INDEX(choices!A:A,MATCH(M71,choices!A:A,0)+10),INDEX(choices!C:C,MATCH(M71,choices!A:A,0)+10),""),IF(M71=INDEX(choices!A:A,MATCH(M71,choices!A:A,0)+10), "
",""),IF(M71=INDEX(choices!A:A,MATCH(M71,choices!A:A,0)+11),INDEX(choices!C:C,MATCH(M71,choices!A:A,0)+11),""),IF(M71=INDEX(choices!A:A,MATCH(M71,choices!A:A,0)+11), "
",""),IF(M71=INDEX(choices!A:A,MATCH(M71,choices!A:A,0)+12),INDEX(choices!C:C,MATCH(M71,choices!A:A,0)+12),""),IF(M71=INDEX(choices!A:A,MATCH(M71,choices!A:A,0)+12), "
",""),IF(M71=INDEX(choices!A:A,MATCH(M71,choices!A:A,0)+13),INDEX(choices!C:C,MATCH(M71,choices!A:A,0)+13),""),IF(M71=INDEX(choices!A:A,MATCH(M71,choices!A:A,0)+13), "
",""),IF(M71=INDEX(choices!A:A,MATCH(M71,choices!A:A,0)+14),INDEX(choices!C:C,MATCH(M71,choices!A:A,0)+14),""),IF(M71=INDEX(choices!A:A,MATCH(M71,choices!A:A,0)+14), "
",""),IF(M71=INDEX(choices!A:A,MATCH(M71,choices!A:A,0)+15),INDEX(choices!C:C,MATCH(M71,choices!A:A,0)+15),""),IF(M71=INDEX(choices!A:A,MATCH(M71,choices!A:A,0)+15), "
",""),IF(M71=INDEX(choices!A:A,MATCH(M71,choices!A:A,0)+16),INDEX(choices!C:C,MATCH(M71,choices!A:A,0)+16),""),IF(M71=INDEX(choices!A:A,MATCH(M71,choices!A:A,0)+16), "
",""),IF(M71=INDEX(choices!A:A,MATCH(M71,choices!A:A,0)+17),INDEX(choices!C:C,MATCH(M71,choices!A:A,0)+17),""),IF(M71=INDEX(choices!A:A,MATCH(M71,choices!A:A,0)+17), "
",""),IF(M71=INDEX(choices!A:A,MATCH(M71,choices!A:A,0)+18),INDEX(choices!C:C,MATCH(M71,choices!A:A,0)+18),""),IF(M71=INDEX(choices!A:A,MATCH(M71,choices!A:A,0)+18), "
",""),IF(M71=INDEX(choices!A:A,MATCH(M71,choices!A:A,0)+19),INDEX(choices!C:C,MATCH(M71,choices!A:A,0)+19),""),IF(M71=INDEX(choices!A:A,MATCH(M71,choices!A:A,0)+19), "
",""),IF(M71=INDEX(choices!A:A,MATCH(M71,choices!A:A,0)+20),INDEX(choices!C:C,MATCH(M71,choices!A:A,0)+20),""),IF(M71=INDEX(choices!A:A,MATCH(M71,choices!A:A,0)+20), "
","")," ")</f>
        <v xml:space="preserve">1. نعم
2. لا
 </v>
      </c>
      <c r="H71" s="266">
        <f t="shared" si="12"/>
        <v>4</v>
      </c>
      <c r="I71" s="274" t="str">
        <f t="shared" si="7"/>
        <v>14409_4</v>
      </c>
      <c r="J71" s="267"/>
      <c r="K71" s="267"/>
      <c r="L71" s="267" t="s">
        <v>170</v>
      </c>
      <c r="M71" s="277" t="s">
        <v>17</v>
      </c>
      <c r="N71" s="64" t="str">
        <f t="shared" si="8"/>
        <v>q14409_4</v>
      </c>
      <c r="O71" s="306" t="str">
        <f t="shared" si="9"/>
        <v>14409_4. العمل فى الزراعة</v>
      </c>
      <c r="P71" s="257" t="str">
        <f t="shared" si="10"/>
        <v>14409_4. Labor for farming</v>
      </c>
      <c r="Q71" s="28"/>
      <c r="R71" s="28"/>
      <c r="S71" s="427" t="str">
        <f t="shared" si="11"/>
        <v xml:space="preserve">data('valid_overall') ==1 </v>
      </c>
      <c r="T71" s="262"/>
      <c r="U71" s="262"/>
      <c r="V71" s="262"/>
      <c r="W71" s="262"/>
      <c r="X71" s="262"/>
      <c r="Y71" s="71" t="b">
        <v>1</v>
      </c>
    </row>
    <row r="72" spans="1:31" s="265" customFormat="1" ht="45">
      <c r="A72" s="48" t="str">
        <f t="shared" si="6"/>
        <v>q14409_5</v>
      </c>
      <c r="B72" s="280" t="s">
        <v>937</v>
      </c>
      <c r="C72" s="280"/>
      <c r="D72" s="127" t="str">
        <f>CONCATENATE(INDEX(choices!D:D,MATCH(M72,choices!A:A,0)),"
",IF(M72=INDEX(choices!A:A,MATCH(M72,choices!A:A,0)+1),INDEX(choices!D:D,MATCH(M72,choices!A:A,0)+1),""),IF(M72=INDEX(choices!A:A,MATCH(M72,choices!A:A,0)+1), "
",""),IF(M72=INDEX(choices!A:A,MATCH(M72,choices!A:A,0)+2),INDEX(choices!D:D,MATCH(M72,choices!A:A,0)+2),""),IF(M72=INDEX(choices!A:A,MATCH(M72,choices!A:A,0)+2), "
",""),IF(M72=INDEX(choices!A:A,MATCH(M72,choices!A:A,0)+3),INDEX(choices!D:D,MATCH(M72,choices!A:A,0)+3),""),IF(M72=INDEX(choices!A:A,MATCH(M72,choices!A:A,0)+3), "
",""),IF(M72=INDEX(choices!A:A,MATCH(M72,choices!A:A,0)+4),INDEX(choices!D:D,MATCH(M72,choices!A:A,0)+4),""),IF(M72=INDEX(choices!A:A,MATCH(M72,choices!A:A,0)+4), "
",""),IF(M72=INDEX(choices!A:A,MATCH(M72,choices!A:A,0)+5),INDEX(choices!D:D,MATCH(M72,choices!A:A,0)+5),""),IF(M72=INDEX(choices!A:A,MATCH(M72,choices!A:A,0)+5), "
",""),IF(M72=INDEX(choices!A:A,MATCH(M72,choices!A:A,0)+6),INDEX(choices!D:D,MATCH(M72,choices!A:A,0)+6),""),IF(M72=INDEX(choices!A:A,MATCH(M72,choices!A:A,0)+6), "
",""),IF(M72=INDEX(choices!A:A,MATCH(M72,choices!A:A,0)+7),INDEX(choices!D:D,MATCH(M72,choices!A:A,0)+7),""),IF(M72=INDEX(choices!A:A,MATCH(M72,choices!A:A,0)+7), "
",""),IF(M72=INDEX(choices!A:A,MATCH(M72,choices!A:A,0)+8),INDEX(choices!D:D,MATCH(M72,choices!A:A,0)+8),""),IF(M72=INDEX(choices!A:A,MATCH(M72,choices!A:A,0)+8), "
",""),IF(M72=INDEX(choices!A:A,MATCH(M72,choices!A:A,0)+9),INDEX(choices!D:D,MATCH(M72,choices!A:A,0)+9),""),IF(M72=INDEX(choices!A:A,MATCH(M72,choices!A:A,0)+9), "
",""),IF(M72=INDEX(choices!A:A,MATCH(M72,choices!A:A,0)+10),INDEX(choices!D:D,MATCH(M72,choices!A:A,0)+10),""),IF(M72=INDEX(choices!A:A,MATCH(M72,choices!A:A,0)+10), "
",""),IF(M72=INDEX(choices!A:A,MATCH(M72,choices!A:A,0)+11),INDEX(choices!D:D,MATCH(M72,choices!A:A,0)+11),""),IF(M72=INDEX(choices!A:A,MATCH(M72,choices!A:A,0)+11), "
",""),IF(M72=INDEX(choices!A:A,MATCH(M72,choices!A:A,0)+12),INDEX(choices!D:D,MATCH(M72,choices!A:A,0)+12),""),IF(M72=INDEX(choices!A:A,MATCH(M72,choices!A:A,0)+12), "
",""),IF(M72=INDEX(choices!A:A,MATCH(M72,choices!A:A,0)+13),INDEX(choices!D:D,MATCH(M72,choices!A:A,0)+13),""),IF(M72=INDEX(choices!A:A,MATCH(M72,choices!A:A,0)+13), "
",""),IF(M72=INDEX(choices!A:A,MATCH(M72,choices!A:A,0)+14),INDEX(choices!D:D,MATCH(M72,choices!A:A,0)+14),""),IF(M72=INDEX(choices!A:A,MATCH(M72,choices!A:A,0)+14), "
",""),IF(M72=INDEX(choices!A:A,MATCH(M72,choices!A:A,0)+15),INDEX(choices!D:D,MATCH(M72,choices!A:A,0)+15),""),IF(M72=INDEX(choices!A:A,MATCH(M72,choices!A:A,0)+15), "
",""),IF(M72=INDEX(choices!A:A,MATCH(M72,choices!A:A,0)+16),INDEX(choices!D:D,MATCH(M72,choices!A:A,0)+16),""),IF(M72=INDEX(choices!A:A,MATCH(M72,choices!A:A,0)+16), "
",""),IF(M72=INDEX(choices!A:A,MATCH(M72,choices!A:A,0)+17),INDEX(choices!D:D,MATCH(M72,choices!A:A,0)+17),""),IF(M72=INDEX(choices!A:A,MATCH(M72,choices!A:A,0)+17), "
",""),IF(M72=INDEX(choices!A:A,MATCH(M72,choices!A:A,0)+18),INDEX(choices!D:D,MATCH(M72,choices!A:A,0)+18),""),IF(M72=INDEX(choices!A:A,MATCH(M72,choices!A:A,0)+18), "
",""),IF(M72=INDEX(choices!A:A,MATCH(M72,choices!A:A,0)+19),INDEX(choices!D:D,MATCH(M72,choices!A:A,0)+19),""),IF(M72=INDEX(choices!A:A,MATCH(M72,choices!A:A,0)+19), "
",""),IF(M72=INDEX(choices!A:A,MATCH(M72,choices!A:A,0)+20),INDEX(choices!D:D,MATCH(M72,choices!A:A,0)+20),""),IF(M72=INDEX(choices!A:A,MATCH(M72,choices!A:A,0)+20), "
",""))</f>
        <v xml:space="preserve">1. Yes
2. No
</v>
      </c>
      <c r="E72" s="366" t="s">
        <v>1238</v>
      </c>
      <c r="F72" s="280"/>
      <c r="G72" s="67" t="str">
        <f>CONCATENATE(INDEX(choices!C:C,MATCH(M72,choices!A:A,0)),"
",IF(M72=INDEX(choices!A:A,MATCH(M72,choices!A:A,0)+1),INDEX(choices!C:C,MATCH(M72,choices!A:A,0)+1),""),IF(M72=INDEX(choices!A:A,MATCH(M72,choices!A:A,0)+1), "
",""),IF(M72=INDEX(choices!A:A,MATCH(M72,choices!A:A,0)+2),INDEX(choices!C:C,MATCH(M72,choices!A:A,0)+2),""),IF(M72=INDEX(choices!A:A,MATCH(M72,choices!A:A,0)+2), "
",""),IF(M72=INDEX(choices!A:A,MATCH(M72,choices!A:A,0)+3),INDEX(choices!C:C,MATCH(M72,choices!A:A,0)+3),""),IF(M72=INDEX(choices!A:A,MATCH(M72,choices!A:A,0)+3), "
",""),IF(M72=INDEX(choices!A:A,MATCH(M72,choices!A:A,0)+4),INDEX(choices!C:C,MATCH(M72,choices!A:A,0)+4),""),IF(M72=INDEX(choices!A:A,MATCH(M72,choices!A:A,0)+4), "
",""),IF(M72=INDEX(choices!A:A,MATCH(M72,choices!A:A,0)+5),INDEX(choices!C:C,MATCH(M72,choices!A:A,0)+5),""),IF(M72=INDEX(choices!A:A,MATCH(M72,choices!A:A,0)+5), "
",""),IF(M72=INDEX(choices!A:A,MATCH(M72,choices!A:A,0)+6),INDEX(choices!C:C,MATCH(M72,choices!A:A,0)+6),""),IF(M72=INDEX(choices!A:A,MATCH(M72,choices!A:A,0)+6), "
",""),IF(M72=INDEX(choices!A:A,MATCH(M72,choices!A:A,0)+7),INDEX(choices!C:C,MATCH(M72,choices!A:A,0)+7),""),IF(M72=INDEX(choices!A:A,MATCH(M72,choices!A:A,0)+7), "
",""),IF(M72=INDEX(choices!A:A,MATCH(M72,choices!A:A,0)+8),INDEX(choices!C:C,MATCH(M72,choices!A:A,0)+8),""),IF(M72=INDEX(choices!A:A,MATCH(M72,choices!A:A,0)+8), "
",""),IF(M72=INDEX(choices!A:A,MATCH(M72,choices!A:A,0)+9),INDEX(choices!C:C,MATCH(M72,choices!A:A,0)+9),""),IF(M72=INDEX(choices!A:A,MATCH(M72,choices!A:A,0)+9), "
",""),IF(M72=INDEX(choices!A:A,MATCH(M72,choices!A:A,0)+10),INDEX(choices!C:C,MATCH(M72,choices!A:A,0)+10),""),IF(M72=INDEX(choices!A:A,MATCH(M72,choices!A:A,0)+10), "
",""),IF(M72=INDEX(choices!A:A,MATCH(M72,choices!A:A,0)+11),INDEX(choices!C:C,MATCH(M72,choices!A:A,0)+11),""),IF(M72=INDEX(choices!A:A,MATCH(M72,choices!A:A,0)+11), "
",""),IF(M72=INDEX(choices!A:A,MATCH(M72,choices!A:A,0)+12),INDEX(choices!C:C,MATCH(M72,choices!A:A,0)+12),""),IF(M72=INDEX(choices!A:A,MATCH(M72,choices!A:A,0)+12), "
",""),IF(M72=INDEX(choices!A:A,MATCH(M72,choices!A:A,0)+13),INDEX(choices!C:C,MATCH(M72,choices!A:A,0)+13),""),IF(M72=INDEX(choices!A:A,MATCH(M72,choices!A:A,0)+13), "
",""),IF(M72=INDEX(choices!A:A,MATCH(M72,choices!A:A,0)+14),INDEX(choices!C:C,MATCH(M72,choices!A:A,0)+14),""),IF(M72=INDEX(choices!A:A,MATCH(M72,choices!A:A,0)+14), "
",""),IF(M72=INDEX(choices!A:A,MATCH(M72,choices!A:A,0)+15),INDEX(choices!C:C,MATCH(M72,choices!A:A,0)+15),""),IF(M72=INDEX(choices!A:A,MATCH(M72,choices!A:A,0)+15), "
",""),IF(M72=INDEX(choices!A:A,MATCH(M72,choices!A:A,0)+16),INDEX(choices!C:C,MATCH(M72,choices!A:A,0)+16),""),IF(M72=INDEX(choices!A:A,MATCH(M72,choices!A:A,0)+16), "
",""),IF(M72=INDEX(choices!A:A,MATCH(M72,choices!A:A,0)+17),INDEX(choices!C:C,MATCH(M72,choices!A:A,0)+17),""),IF(M72=INDEX(choices!A:A,MATCH(M72,choices!A:A,0)+17), "
",""),IF(M72=INDEX(choices!A:A,MATCH(M72,choices!A:A,0)+18),INDEX(choices!C:C,MATCH(M72,choices!A:A,0)+18),""),IF(M72=INDEX(choices!A:A,MATCH(M72,choices!A:A,0)+18), "
",""),IF(M72=INDEX(choices!A:A,MATCH(M72,choices!A:A,0)+19),INDEX(choices!C:C,MATCH(M72,choices!A:A,0)+19),""),IF(M72=INDEX(choices!A:A,MATCH(M72,choices!A:A,0)+19), "
",""),IF(M72=INDEX(choices!A:A,MATCH(M72,choices!A:A,0)+20),INDEX(choices!C:C,MATCH(M72,choices!A:A,0)+20),""),IF(M72=INDEX(choices!A:A,MATCH(M72,choices!A:A,0)+20), "
","")," ")</f>
        <v xml:space="preserve">1. نعم
2. لا
 </v>
      </c>
      <c r="H72" s="266">
        <f t="shared" si="12"/>
        <v>5</v>
      </c>
      <c r="I72" s="274" t="str">
        <f t="shared" si="7"/>
        <v>14409_5</v>
      </c>
      <c r="J72" s="267"/>
      <c r="K72" s="267"/>
      <c r="L72" s="267" t="s">
        <v>170</v>
      </c>
      <c r="M72" s="277" t="s">
        <v>17</v>
      </c>
      <c r="N72" s="64" t="str">
        <f t="shared" si="8"/>
        <v>q14409_5</v>
      </c>
      <c r="O72" s="306" t="str">
        <f t="shared" si="9"/>
        <v>14409_5. رسوم مدرسية</v>
      </c>
      <c r="P72" s="257" t="str">
        <f t="shared" si="10"/>
        <v>14409_5. School fees</v>
      </c>
      <c r="Q72" s="28"/>
      <c r="R72" s="28"/>
      <c r="S72" s="427" t="str">
        <f t="shared" si="11"/>
        <v xml:space="preserve">data('valid_overall') ==1 </v>
      </c>
      <c r="T72" s="262"/>
      <c r="U72" s="262"/>
      <c r="V72" s="262"/>
      <c r="W72" s="262"/>
      <c r="X72" s="262"/>
      <c r="Y72" s="71" t="b">
        <v>1</v>
      </c>
    </row>
    <row r="73" spans="1:31" s="265" customFormat="1" ht="45">
      <c r="A73" s="48" t="str">
        <f t="shared" si="6"/>
        <v>q14409_6</v>
      </c>
      <c r="B73" s="280" t="s">
        <v>938</v>
      </c>
      <c r="C73" s="280"/>
      <c r="D73" s="127" t="str">
        <f>CONCATENATE(INDEX(choices!D:D,MATCH(M73,choices!A:A,0)),"
",IF(M73=INDEX(choices!A:A,MATCH(M73,choices!A:A,0)+1),INDEX(choices!D:D,MATCH(M73,choices!A:A,0)+1),""),IF(M73=INDEX(choices!A:A,MATCH(M73,choices!A:A,0)+1), "
",""),IF(M73=INDEX(choices!A:A,MATCH(M73,choices!A:A,0)+2),INDEX(choices!D:D,MATCH(M73,choices!A:A,0)+2),""),IF(M73=INDEX(choices!A:A,MATCH(M73,choices!A:A,0)+2), "
",""),IF(M73=INDEX(choices!A:A,MATCH(M73,choices!A:A,0)+3),INDEX(choices!D:D,MATCH(M73,choices!A:A,0)+3),""),IF(M73=INDEX(choices!A:A,MATCH(M73,choices!A:A,0)+3), "
",""),IF(M73=INDEX(choices!A:A,MATCH(M73,choices!A:A,0)+4),INDEX(choices!D:D,MATCH(M73,choices!A:A,0)+4),""),IF(M73=INDEX(choices!A:A,MATCH(M73,choices!A:A,0)+4), "
",""),IF(M73=INDEX(choices!A:A,MATCH(M73,choices!A:A,0)+5),INDEX(choices!D:D,MATCH(M73,choices!A:A,0)+5),""),IF(M73=INDEX(choices!A:A,MATCH(M73,choices!A:A,0)+5), "
",""),IF(M73=INDEX(choices!A:A,MATCH(M73,choices!A:A,0)+6),INDEX(choices!D:D,MATCH(M73,choices!A:A,0)+6),""),IF(M73=INDEX(choices!A:A,MATCH(M73,choices!A:A,0)+6), "
",""),IF(M73=INDEX(choices!A:A,MATCH(M73,choices!A:A,0)+7),INDEX(choices!D:D,MATCH(M73,choices!A:A,0)+7),""),IF(M73=INDEX(choices!A:A,MATCH(M73,choices!A:A,0)+7), "
",""),IF(M73=INDEX(choices!A:A,MATCH(M73,choices!A:A,0)+8),INDEX(choices!D:D,MATCH(M73,choices!A:A,0)+8),""),IF(M73=INDEX(choices!A:A,MATCH(M73,choices!A:A,0)+8), "
",""),IF(M73=INDEX(choices!A:A,MATCH(M73,choices!A:A,0)+9),INDEX(choices!D:D,MATCH(M73,choices!A:A,0)+9),""),IF(M73=INDEX(choices!A:A,MATCH(M73,choices!A:A,0)+9), "
",""),IF(M73=INDEX(choices!A:A,MATCH(M73,choices!A:A,0)+10),INDEX(choices!D:D,MATCH(M73,choices!A:A,0)+10),""),IF(M73=INDEX(choices!A:A,MATCH(M73,choices!A:A,0)+10), "
",""),IF(M73=INDEX(choices!A:A,MATCH(M73,choices!A:A,0)+11),INDEX(choices!D:D,MATCH(M73,choices!A:A,0)+11),""),IF(M73=INDEX(choices!A:A,MATCH(M73,choices!A:A,0)+11), "
",""),IF(M73=INDEX(choices!A:A,MATCH(M73,choices!A:A,0)+12),INDEX(choices!D:D,MATCH(M73,choices!A:A,0)+12),""),IF(M73=INDEX(choices!A:A,MATCH(M73,choices!A:A,0)+12), "
",""),IF(M73=INDEX(choices!A:A,MATCH(M73,choices!A:A,0)+13),INDEX(choices!D:D,MATCH(M73,choices!A:A,0)+13),""),IF(M73=INDEX(choices!A:A,MATCH(M73,choices!A:A,0)+13), "
",""),IF(M73=INDEX(choices!A:A,MATCH(M73,choices!A:A,0)+14),INDEX(choices!D:D,MATCH(M73,choices!A:A,0)+14),""),IF(M73=INDEX(choices!A:A,MATCH(M73,choices!A:A,0)+14), "
",""),IF(M73=INDEX(choices!A:A,MATCH(M73,choices!A:A,0)+15),INDEX(choices!D:D,MATCH(M73,choices!A:A,0)+15),""),IF(M73=INDEX(choices!A:A,MATCH(M73,choices!A:A,0)+15), "
",""),IF(M73=INDEX(choices!A:A,MATCH(M73,choices!A:A,0)+16),INDEX(choices!D:D,MATCH(M73,choices!A:A,0)+16),""),IF(M73=INDEX(choices!A:A,MATCH(M73,choices!A:A,0)+16), "
",""),IF(M73=INDEX(choices!A:A,MATCH(M73,choices!A:A,0)+17),INDEX(choices!D:D,MATCH(M73,choices!A:A,0)+17),""),IF(M73=INDEX(choices!A:A,MATCH(M73,choices!A:A,0)+17), "
",""),IF(M73=INDEX(choices!A:A,MATCH(M73,choices!A:A,0)+18),INDEX(choices!D:D,MATCH(M73,choices!A:A,0)+18),""),IF(M73=INDEX(choices!A:A,MATCH(M73,choices!A:A,0)+18), "
",""),IF(M73=INDEX(choices!A:A,MATCH(M73,choices!A:A,0)+19),INDEX(choices!D:D,MATCH(M73,choices!A:A,0)+19),""),IF(M73=INDEX(choices!A:A,MATCH(M73,choices!A:A,0)+19), "
",""),IF(M73=INDEX(choices!A:A,MATCH(M73,choices!A:A,0)+20),INDEX(choices!D:D,MATCH(M73,choices!A:A,0)+20),""),IF(M73=INDEX(choices!A:A,MATCH(M73,choices!A:A,0)+20), "
",""))</f>
        <v xml:space="preserve">1. Yes
2. No
</v>
      </c>
      <c r="E73" s="366" t="s">
        <v>1239</v>
      </c>
      <c r="F73" s="280"/>
      <c r="G73" s="67" t="str">
        <f>CONCATENATE(INDEX(choices!C:C,MATCH(M73,choices!A:A,0)),"
",IF(M73=INDEX(choices!A:A,MATCH(M73,choices!A:A,0)+1),INDEX(choices!C:C,MATCH(M73,choices!A:A,0)+1),""),IF(M73=INDEX(choices!A:A,MATCH(M73,choices!A:A,0)+1), "
",""),IF(M73=INDEX(choices!A:A,MATCH(M73,choices!A:A,0)+2),INDEX(choices!C:C,MATCH(M73,choices!A:A,0)+2),""),IF(M73=INDEX(choices!A:A,MATCH(M73,choices!A:A,0)+2), "
",""),IF(M73=INDEX(choices!A:A,MATCH(M73,choices!A:A,0)+3),INDEX(choices!C:C,MATCH(M73,choices!A:A,0)+3),""),IF(M73=INDEX(choices!A:A,MATCH(M73,choices!A:A,0)+3), "
",""),IF(M73=INDEX(choices!A:A,MATCH(M73,choices!A:A,0)+4),INDEX(choices!C:C,MATCH(M73,choices!A:A,0)+4),""),IF(M73=INDEX(choices!A:A,MATCH(M73,choices!A:A,0)+4), "
",""),IF(M73=INDEX(choices!A:A,MATCH(M73,choices!A:A,0)+5),INDEX(choices!C:C,MATCH(M73,choices!A:A,0)+5),""),IF(M73=INDEX(choices!A:A,MATCH(M73,choices!A:A,0)+5), "
",""),IF(M73=INDEX(choices!A:A,MATCH(M73,choices!A:A,0)+6),INDEX(choices!C:C,MATCH(M73,choices!A:A,0)+6),""),IF(M73=INDEX(choices!A:A,MATCH(M73,choices!A:A,0)+6), "
",""),IF(M73=INDEX(choices!A:A,MATCH(M73,choices!A:A,0)+7),INDEX(choices!C:C,MATCH(M73,choices!A:A,0)+7),""),IF(M73=INDEX(choices!A:A,MATCH(M73,choices!A:A,0)+7), "
",""),IF(M73=INDEX(choices!A:A,MATCH(M73,choices!A:A,0)+8),INDEX(choices!C:C,MATCH(M73,choices!A:A,0)+8),""),IF(M73=INDEX(choices!A:A,MATCH(M73,choices!A:A,0)+8), "
",""),IF(M73=INDEX(choices!A:A,MATCH(M73,choices!A:A,0)+9),INDEX(choices!C:C,MATCH(M73,choices!A:A,0)+9),""),IF(M73=INDEX(choices!A:A,MATCH(M73,choices!A:A,0)+9), "
",""),IF(M73=INDEX(choices!A:A,MATCH(M73,choices!A:A,0)+10),INDEX(choices!C:C,MATCH(M73,choices!A:A,0)+10),""),IF(M73=INDEX(choices!A:A,MATCH(M73,choices!A:A,0)+10), "
",""),IF(M73=INDEX(choices!A:A,MATCH(M73,choices!A:A,0)+11),INDEX(choices!C:C,MATCH(M73,choices!A:A,0)+11),""),IF(M73=INDEX(choices!A:A,MATCH(M73,choices!A:A,0)+11), "
",""),IF(M73=INDEX(choices!A:A,MATCH(M73,choices!A:A,0)+12),INDEX(choices!C:C,MATCH(M73,choices!A:A,0)+12),""),IF(M73=INDEX(choices!A:A,MATCH(M73,choices!A:A,0)+12), "
",""),IF(M73=INDEX(choices!A:A,MATCH(M73,choices!A:A,0)+13),INDEX(choices!C:C,MATCH(M73,choices!A:A,0)+13),""),IF(M73=INDEX(choices!A:A,MATCH(M73,choices!A:A,0)+13), "
",""),IF(M73=INDEX(choices!A:A,MATCH(M73,choices!A:A,0)+14),INDEX(choices!C:C,MATCH(M73,choices!A:A,0)+14),""),IF(M73=INDEX(choices!A:A,MATCH(M73,choices!A:A,0)+14), "
",""),IF(M73=INDEX(choices!A:A,MATCH(M73,choices!A:A,0)+15),INDEX(choices!C:C,MATCH(M73,choices!A:A,0)+15),""),IF(M73=INDEX(choices!A:A,MATCH(M73,choices!A:A,0)+15), "
",""),IF(M73=INDEX(choices!A:A,MATCH(M73,choices!A:A,0)+16),INDEX(choices!C:C,MATCH(M73,choices!A:A,0)+16),""),IF(M73=INDEX(choices!A:A,MATCH(M73,choices!A:A,0)+16), "
",""),IF(M73=INDEX(choices!A:A,MATCH(M73,choices!A:A,0)+17),INDEX(choices!C:C,MATCH(M73,choices!A:A,0)+17),""),IF(M73=INDEX(choices!A:A,MATCH(M73,choices!A:A,0)+17), "
",""),IF(M73=INDEX(choices!A:A,MATCH(M73,choices!A:A,0)+18),INDEX(choices!C:C,MATCH(M73,choices!A:A,0)+18),""),IF(M73=INDEX(choices!A:A,MATCH(M73,choices!A:A,0)+18), "
",""),IF(M73=INDEX(choices!A:A,MATCH(M73,choices!A:A,0)+19),INDEX(choices!C:C,MATCH(M73,choices!A:A,0)+19),""),IF(M73=INDEX(choices!A:A,MATCH(M73,choices!A:A,0)+19), "
",""),IF(M73=INDEX(choices!A:A,MATCH(M73,choices!A:A,0)+20),INDEX(choices!C:C,MATCH(M73,choices!A:A,0)+20),""),IF(M73=INDEX(choices!A:A,MATCH(M73,choices!A:A,0)+20), "
","")," ")</f>
        <v xml:space="preserve">1. نعم
2. لا
 </v>
      </c>
      <c r="H73" s="266">
        <f t="shared" si="12"/>
        <v>6</v>
      </c>
      <c r="I73" s="274" t="str">
        <f t="shared" si="7"/>
        <v>14409_6</v>
      </c>
      <c r="J73" s="267"/>
      <c r="K73" s="267"/>
      <c r="L73" s="267" t="s">
        <v>170</v>
      </c>
      <c r="M73" s="277" t="s">
        <v>17</v>
      </c>
      <c r="N73" s="64" t="str">
        <f t="shared" si="8"/>
        <v>q14409_6</v>
      </c>
      <c r="O73" s="306" t="str">
        <f t="shared" si="9"/>
        <v>14409_6. المعاول وغيرها من الأدوات الزراعية الصغيرة</v>
      </c>
      <c r="P73" s="257" t="str">
        <f t="shared" si="10"/>
        <v>14409_6. Hoes and other small farm tools</v>
      </c>
      <c r="Q73" s="28"/>
      <c r="R73" s="28"/>
      <c r="S73" s="427" t="str">
        <f t="shared" si="11"/>
        <v xml:space="preserve">data('valid_overall') ==1 </v>
      </c>
      <c r="T73" s="262"/>
      <c r="U73" s="262"/>
      <c r="V73" s="262"/>
      <c r="W73" s="262"/>
      <c r="X73" s="262"/>
      <c r="Y73" s="71" t="b">
        <v>1</v>
      </c>
    </row>
    <row r="74" spans="1:31" s="265" customFormat="1" ht="45">
      <c r="A74" s="48" t="str">
        <f t="shared" si="6"/>
        <v>q14409_7</v>
      </c>
      <c r="B74" s="280" t="s">
        <v>939</v>
      </c>
      <c r="C74" s="280"/>
      <c r="D74" s="127" t="str">
        <f>CONCATENATE(INDEX(choices!D:D,MATCH(M74,choices!A:A,0)),"
",IF(M74=INDEX(choices!A:A,MATCH(M74,choices!A:A,0)+1),INDEX(choices!D:D,MATCH(M74,choices!A:A,0)+1),""),IF(M74=INDEX(choices!A:A,MATCH(M74,choices!A:A,0)+1), "
",""),IF(M74=INDEX(choices!A:A,MATCH(M74,choices!A:A,0)+2),INDEX(choices!D:D,MATCH(M74,choices!A:A,0)+2),""),IF(M74=INDEX(choices!A:A,MATCH(M74,choices!A:A,0)+2), "
",""),IF(M74=INDEX(choices!A:A,MATCH(M74,choices!A:A,0)+3),INDEX(choices!D:D,MATCH(M74,choices!A:A,0)+3),""),IF(M74=INDEX(choices!A:A,MATCH(M74,choices!A:A,0)+3), "
",""),IF(M74=INDEX(choices!A:A,MATCH(M74,choices!A:A,0)+4),INDEX(choices!D:D,MATCH(M74,choices!A:A,0)+4),""),IF(M74=INDEX(choices!A:A,MATCH(M74,choices!A:A,0)+4), "
",""),IF(M74=INDEX(choices!A:A,MATCH(M74,choices!A:A,0)+5),INDEX(choices!D:D,MATCH(M74,choices!A:A,0)+5),""),IF(M74=INDEX(choices!A:A,MATCH(M74,choices!A:A,0)+5), "
",""),IF(M74=INDEX(choices!A:A,MATCH(M74,choices!A:A,0)+6),INDEX(choices!D:D,MATCH(M74,choices!A:A,0)+6),""),IF(M74=INDEX(choices!A:A,MATCH(M74,choices!A:A,0)+6), "
",""),IF(M74=INDEX(choices!A:A,MATCH(M74,choices!A:A,0)+7),INDEX(choices!D:D,MATCH(M74,choices!A:A,0)+7),""),IF(M74=INDEX(choices!A:A,MATCH(M74,choices!A:A,0)+7), "
",""),IF(M74=INDEX(choices!A:A,MATCH(M74,choices!A:A,0)+8),INDEX(choices!D:D,MATCH(M74,choices!A:A,0)+8),""),IF(M74=INDEX(choices!A:A,MATCH(M74,choices!A:A,0)+8), "
",""),IF(M74=INDEX(choices!A:A,MATCH(M74,choices!A:A,0)+9),INDEX(choices!D:D,MATCH(M74,choices!A:A,0)+9),""),IF(M74=INDEX(choices!A:A,MATCH(M74,choices!A:A,0)+9), "
",""),IF(M74=INDEX(choices!A:A,MATCH(M74,choices!A:A,0)+10),INDEX(choices!D:D,MATCH(M74,choices!A:A,0)+10),""),IF(M74=INDEX(choices!A:A,MATCH(M74,choices!A:A,0)+10), "
",""),IF(M74=INDEX(choices!A:A,MATCH(M74,choices!A:A,0)+11),INDEX(choices!D:D,MATCH(M74,choices!A:A,0)+11),""),IF(M74=INDEX(choices!A:A,MATCH(M74,choices!A:A,0)+11), "
",""),IF(M74=INDEX(choices!A:A,MATCH(M74,choices!A:A,0)+12),INDEX(choices!D:D,MATCH(M74,choices!A:A,0)+12),""),IF(M74=INDEX(choices!A:A,MATCH(M74,choices!A:A,0)+12), "
",""),IF(M74=INDEX(choices!A:A,MATCH(M74,choices!A:A,0)+13),INDEX(choices!D:D,MATCH(M74,choices!A:A,0)+13),""),IF(M74=INDEX(choices!A:A,MATCH(M74,choices!A:A,0)+13), "
",""),IF(M74=INDEX(choices!A:A,MATCH(M74,choices!A:A,0)+14),INDEX(choices!D:D,MATCH(M74,choices!A:A,0)+14),""),IF(M74=INDEX(choices!A:A,MATCH(M74,choices!A:A,0)+14), "
",""),IF(M74=INDEX(choices!A:A,MATCH(M74,choices!A:A,0)+15),INDEX(choices!D:D,MATCH(M74,choices!A:A,0)+15),""),IF(M74=INDEX(choices!A:A,MATCH(M74,choices!A:A,0)+15), "
",""),IF(M74=INDEX(choices!A:A,MATCH(M74,choices!A:A,0)+16),INDEX(choices!D:D,MATCH(M74,choices!A:A,0)+16),""),IF(M74=INDEX(choices!A:A,MATCH(M74,choices!A:A,0)+16), "
",""),IF(M74=INDEX(choices!A:A,MATCH(M74,choices!A:A,0)+17),INDEX(choices!D:D,MATCH(M74,choices!A:A,0)+17),""),IF(M74=INDEX(choices!A:A,MATCH(M74,choices!A:A,0)+17), "
",""),IF(M74=INDEX(choices!A:A,MATCH(M74,choices!A:A,0)+18),INDEX(choices!D:D,MATCH(M74,choices!A:A,0)+18),""),IF(M74=INDEX(choices!A:A,MATCH(M74,choices!A:A,0)+18), "
",""),IF(M74=INDEX(choices!A:A,MATCH(M74,choices!A:A,0)+19),INDEX(choices!D:D,MATCH(M74,choices!A:A,0)+19),""),IF(M74=INDEX(choices!A:A,MATCH(M74,choices!A:A,0)+19), "
",""),IF(M74=INDEX(choices!A:A,MATCH(M74,choices!A:A,0)+20),INDEX(choices!D:D,MATCH(M74,choices!A:A,0)+20),""),IF(M74=INDEX(choices!A:A,MATCH(M74,choices!A:A,0)+20), "
",""))</f>
        <v xml:space="preserve">1. Yes
2. No
</v>
      </c>
      <c r="E74" s="366" t="s">
        <v>1240</v>
      </c>
      <c r="F74" s="280"/>
      <c r="G74" s="67" t="str">
        <f>CONCATENATE(INDEX(choices!C:C,MATCH(M74,choices!A:A,0)),"
",IF(M74=INDEX(choices!A:A,MATCH(M74,choices!A:A,0)+1),INDEX(choices!C:C,MATCH(M74,choices!A:A,0)+1),""),IF(M74=INDEX(choices!A:A,MATCH(M74,choices!A:A,0)+1), "
",""),IF(M74=INDEX(choices!A:A,MATCH(M74,choices!A:A,0)+2),INDEX(choices!C:C,MATCH(M74,choices!A:A,0)+2),""),IF(M74=INDEX(choices!A:A,MATCH(M74,choices!A:A,0)+2), "
",""),IF(M74=INDEX(choices!A:A,MATCH(M74,choices!A:A,0)+3),INDEX(choices!C:C,MATCH(M74,choices!A:A,0)+3),""),IF(M74=INDEX(choices!A:A,MATCH(M74,choices!A:A,0)+3), "
",""),IF(M74=INDEX(choices!A:A,MATCH(M74,choices!A:A,0)+4),INDEX(choices!C:C,MATCH(M74,choices!A:A,0)+4),""),IF(M74=INDEX(choices!A:A,MATCH(M74,choices!A:A,0)+4), "
",""),IF(M74=INDEX(choices!A:A,MATCH(M74,choices!A:A,0)+5),INDEX(choices!C:C,MATCH(M74,choices!A:A,0)+5),""),IF(M74=INDEX(choices!A:A,MATCH(M74,choices!A:A,0)+5), "
",""),IF(M74=INDEX(choices!A:A,MATCH(M74,choices!A:A,0)+6),INDEX(choices!C:C,MATCH(M74,choices!A:A,0)+6),""),IF(M74=INDEX(choices!A:A,MATCH(M74,choices!A:A,0)+6), "
",""),IF(M74=INDEX(choices!A:A,MATCH(M74,choices!A:A,0)+7),INDEX(choices!C:C,MATCH(M74,choices!A:A,0)+7),""),IF(M74=INDEX(choices!A:A,MATCH(M74,choices!A:A,0)+7), "
",""),IF(M74=INDEX(choices!A:A,MATCH(M74,choices!A:A,0)+8),INDEX(choices!C:C,MATCH(M74,choices!A:A,0)+8),""),IF(M74=INDEX(choices!A:A,MATCH(M74,choices!A:A,0)+8), "
",""),IF(M74=INDEX(choices!A:A,MATCH(M74,choices!A:A,0)+9),INDEX(choices!C:C,MATCH(M74,choices!A:A,0)+9),""),IF(M74=INDEX(choices!A:A,MATCH(M74,choices!A:A,0)+9), "
",""),IF(M74=INDEX(choices!A:A,MATCH(M74,choices!A:A,0)+10),INDEX(choices!C:C,MATCH(M74,choices!A:A,0)+10),""),IF(M74=INDEX(choices!A:A,MATCH(M74,choices!A:A,0)+10), "
",""),IF(M74=INDEX(choices!A:A,MATCH(M74,choices!A:A,0)+11),INDEX(choices!C:C,MATCH(M74,choices!A:A,0)+11),""),IF(M74=INDEX(choices!A:A,MATCH(M74,choices!A:A,0)+11), "
",""),IF(M74=INDEX(choices!A:A,MATCH(M74,choices!A:A,0)+12),INDEX(choices!C:C,MATCH(M74,choices!A:A,0)+12),""),IF(M74=INDEX(choices!A:A,MATCH(M74,choices!A:A,0)+12), "
",""),IF(M74=INDEX(choices!A:A,MATCH(M74,choices!A:A,0)+13),INDEX(choices!C:C,MATCH(M74,choices!A:A,0)+13),""),IF(M74=INDEX(choices!A:A,MATCH(M74,choices!A:A,0)+13), "
",""),IF(M74=INDEX(choices!A:A,MATCH(M74,choices!A:A,0)+14),INDEX(choices!C:C,MATCH(M74,choices!A:A,0)+14),""),IF(M74=INDEX(choices!A:A,MATCH(M74,choices!A:A,0)+14), "
",""),IF(M74=INDEX(choices!A:A,MATCH(M74,choices!A:A,0)+15),INDEX(choices!C:C,MATCH(M74,choices!A:A,0)+15),""),IF(M74=INDEX(choices!A:A,MATCH(M74,choices!A:A,0)+15), "
",""),IF(M74=INDEX(choices!A:A,MATCH(M74,choices!A:A,0)+16),INDEX(choices!C:C,MATCH(M74,choices!A:A,0)+16),""),IF(M74=INDEX(choices!A:A,MATCH(M74,choices!A:A,0)+16), "
",""),IF(M74=INDEX(choices!A:A,MATCH(M74,choices!A:A,0)+17),INDEX(choices!C:C,MATCH(M74,choices!A:A,0)+17),""),IF(M74=INDEX(choices!A:A,MATCH(M74,choices!A:A,0)+17), "
",""),IF(M74=INDEX(choices!A:A,MATCH(M74,choices!A:A,0)+18),INDEX(choices!C:C,MATCH(M74,choices!A:A,0)+18),""),IF(M74=INDEX(choices!A:A,MATCH(M74,choices!A:A,0)+18), "
",""),IF(M74=INDEX(choices!A:A,MATCH(M74,choices!A:A,0)+19),INDEX(choices!C:C,MATCH(M74,choices!A:A,0)+19),""),IF(M74=INDEX(choices!A:A,MATCH(M74,choices!A:A,0)+19), "
",""),IF(M74=INDEX(choices!A:A,MATCH(M74,choices!A:A,0)+20),INDEX(choices!C:C,MATCH(M74,choices!A:A,0)+20),""),IF(M74=INDEX(choices!A:A,MATCH(M74,choices!A:A,0)+20), "
","")," ")</f>
        <v xml:space="preserve">1. نعم
2. لا
 </v>
      </c>
      <c r="H74" s="266">
        <f t="shared" si="12"/>
        <v>7</v>
      </c>
      <c r="I74" s="274" t="str">
        <f t="shared" si="7"/>
        <v>14409_7</v>
      </c>
      <c r="J74" s="267"/>
      <c r="K74" s="267"/>
      <c r="L74" s="267" t="s">
        <v>170</v>
      </c>
      <c r="M74" s="277" t="s">
        <v>17</v>
      </c>
      <c r="N74" s="64" t="str">
        <f t="shared" si="8"/>
        <v>q14409_7</v>
      </c>
      <c r="O74" s="306" t="str">
        <f t="shared" si="9"/>
        <v>14409_7. أدوات زراعية كبيرة</v>
      </c>
      <c r="P74" s="257" t="str">
        <f t="shared" si="10"/>
        <v>14409_7. Large farm tools</v>
      </c>
      <c r="Q74" s="28"/>
      <c r="R74" s="28"/>
      <c r="S74" s="427" t="str">
        <f t="shared" si="11"/>
        <v xml:space="preserve">data('valid_overall') ==1 </v>
      </c>
      <c r="T74" s="262"/>
      <c r="U74" s="262"/>
      <c r="V74" s="262"/>
      <c r="W74" s="262"/>
      <c r="X74" s="262"/>
      <c r="Y74" s="71" t="b">
        <v>1</v>
      </c>
    </row>
    <row r="75" spans="1:31" s="265" customFormat="1" ht="47.25">
      <c r="A75" s="48" t="str">
        <f t="shared" si="6"/>
        <v>q14409_8</v>
      </c>
      <c r="B75" s="280" t="s">
        <v>940</v>
      </c>
      <c r="C75" s="280"/>
      <c r="D75" s="127" t="str">
        <f>CONCATENATE(INDEX(choices!D:D,MATCH(M75,choices!A:A,0)),"
",IF(M75=INDEX(choices!A:A,MATCH(M75,choices!A:A,0)+1),INDEX(choices!D:D,MATCH(M75,choices!A:A,0)+1),""),IF(M75=INDEX(choices!A:A,MATCH(M75,choices!A:A,0)+1), "
",""),IF(M75=INDEX(choices!A:A,MATCH(M75,choices!A:A,0)+2),INDEX(choices!D:D,MATCH(M75,choices!A:A,0)+2),""),IF(M75=INDEX(choices!A:A,MATCH(M75,choices!A:A,0)+2), "
",""),IF(M75=INDEX(choices!A:A,MATCH(M75,choices!A:A,0)+3),INDEX(choices!D:D,MATCH(M75,choices!A:A,0)+3),""),IF(M75=INDEX(choices!A:A,MATCH(M75,choices!A:A,0)+3), "
",""),IF(M75=INDEX(choices!A:A,MATCH(M75,choices!A:A,0)+4),INDEX(choices!D:D,MATCH(M75,choices!A:A,0)+4),""),IF(M75=INDEX(choices!A:A,MATCH(M75,choices!A:A,0)+4), "
",""),IF(M75=INDEX(choices!A:A,MATCH(M75,choices!A:A,0)+5),INDEX(choices!D:D,MATCH(M75,choices!A:A,0)+5),""),IF(M75=INDEX(choices!A:A,MATCH(M75,choices!A:A,0)+5), "
",""),IF(M75=INDEX(choices!A:A,MATCH(M75,choices!A:A,0)+6),INDEX(choices!D:D,MATCH(M75,choices!A:A,0)+6),""),IF(M75=INDEX(choices!A:A,MATCH(M75,choices!A:A,0)+6), "
",""),IF(M75=INDEX(choices!A:A,MATCH(M75,choices!A:A,0)+7),INDEX(choices!D:D,MATCH(M75,choices!A:A,0)+7),""),IF(M75=INDEX(choices!A:A,MATCH(M75,choices!A:A,0)+7), "
",""),IF(M75=INDEX(choices!A:A,MATCH(M75,choices!A:A,0)+8),INDEX(choices!D:D,MATCH(M75,choices!A:A,0)+8),""),IF(M75=INDEX(choices!A:A,MATCH(M75,choices!A:A,0)+8), "
",""),IF(M75=INDEX(choices!A:A,MATCH(M75,choices!A:A,0)+9),INDEX(choices!D:D,MATCH(M75,choices!A:A,0)+9),""),IF(M75=INDEX(choices!A:A,MATCH(M75,choices!A:A,0)+9), "
",""),IF(M75=INDEX(choices!A:A,MATCH(M75,choices!A:A,0)+10),INDEX(choices!D:D,MATCH(M75,choices!A:A,0)+10),""),IF(M75=INDEX(choices!A:A,MATCH(M75,choices!A:A,0)+10), "
",""),IF(M75=INDEX(choices!A:A,MATCH(M75,choices!A:A,0)+11),INDEX(choices!D:D,MATCH(M75,choices!A:A,0)+11),""),IF(M75=INDEX(choices!A:A,MATCH(M75,choices!A:A,0)+11), "
",""),IF(M75=INDEX(choices!A:A,MATCH(M75,choices!A:A,0)+12),INDEX(choices!D:D,MATCH(M75,choices!A:A,0)+12),""),IF(M75=INDEX(choices!A:A,MATCH(M75,choices!A:A,0)+12), "
",""),IF(M75=INDEX(choices!A:A,MATCH(M75,choices!A:A,0)+13),INDEX(choices!D:D,MATCH(M75,choices!A:A,0)+13),""),IF(M75=INDEX(choices!A:A,MATCH(M75,choices!A:A,0)+13), "
",""),IF(M75=INDEX(choices!A:A,MATCH(M75,choices!A:A,0)+14),INDEX(choices!D:D,MATCH(M75,choices!A:A,0)+14),""),IF(M75=INDEX(choices!A:A,MATCH(M75,choices!A:A,0)+14), "
",""),IF(M75=INDEX(choices!A:A,MATCH(M75,choices!A:A,0)+15),INDEX(choices!D:D,MATCH(M75,choices!A:A,0)+15),""),IF(M75=INDEX(choices!A:A,MATCH(M75,choices!A:A,0)+15), "
",""),IF(M75=INDEX(choices!A:A,MATCH(M75,choices!A:A,0)+16),INDEX(choices!D:D,MATCH(M75,choices!A:A,0)+16),""),IF(M75=INDEX(choices!A:A,MATCH(M75,choices!A:A,0)+16), "
",""),IF(M75=INDEX(choices!A:A,MATCH(M75,choices!A:A,0)+17),INDEX(choices!D:D,MATCH(M75,choices!A:A,0)+17),""),IF(M75=INDEX(choices!A:A,MATCH(M75,choices!A:A,0)+17), "
",""),IF(M75=INDEX(choices!A:A,MATCH(M75,choices!A:A,0)+18),INDEX(choices!D:D,MATCH(M75,choices!A:A,0)+18),""),IF(M75=INDEX(choices!A:A,MATCH(M75,choices!A:A,0)+18), "
",""),IF(M75=INDEX(choices!A:A,MATCH(M75,choices!A:A,0)+19),INDEX(choices!D:D,MATCH(M75,choices!A:A,0)+19),""),IF(M75=INDEX(choices!A:A,MATCH(M75,choices!A:A,0)+19), "
",""),IF(M75=INDEX(choices!A:A,MATCH(M75,choices!A:A,0)+20),INDEX(choices!D:D,MATCH(M75,choices!A:A,0)+20),""),IF(M75=INDEX(choices!A:A,MATCH(M75,choices!A:A,0)+20), "
",""))</f>
        <v xml:space="preserve">1. Yes
2. No
</v>
      </c>
      <c r="E75" s="365" t="s">
        <v>1241</v>
      </c>
      <c r="F75" s="280"/>
      <c r="G75" s="67" t="str">
        <f>CONCATENATE(INDEX(choices!C:C,MATCH(M75,choices!A:A,0)),"
",IF(M75=INDEX(choices!A:A,MATCH(M75,choices!A:A,0)+1),INDEX(choices!C:C,MATCH(M75,choices!A:A,0)+1),""),IF(M75=INDEX(choices!A:A,MATCH(M75,choices!A:A,0)+1), "
",""),IF(M75=INDEX(choices!A:A,MATCH(M75,choices!A:A,0)+2),INDEX(choices!C:C,MATCH(M75,choices!A:A,0)+2),""),IF(M75=INDEX(choices!A:A,MATCH(M75,choices!A:A,0)+2), "
",""),IF(M75=INDEX(choices!A:A,MATCH(M75,choices!A:A,0)+3),INDEX(choices!C:C,MATCH(M75,choices!A:A,0)+3),""),IF(M75=INDEX(choices!A:A,MATCH(M75,choices!A:A,0)+3), "
",""),IF(M75=INDEX(choices!A:A,MATCH(M75,choices!A:A,0)+4),INDEX(choices!C:C,MATCH(M75,choices!A:A,0)+4),""),IF(M75=INDEX(choices!A:A,MATCH(M75,choices!A:A,0)+4), "
",""),IF(M75=INDEX(choices!A:A,MATCH(M75,choices!A:A,0)+5),INDEX(choices!C:C,MATCH(M75,choices!A:A,0)+5),""),IF(M75=INDEX(choices!A:A,MATCH(M75,choices!A:A,0)+5), "
",""),IF(M75=INDEX(choices!A:A,MATCH(M75,choices!A:A,0)+6),INDEX(choices!C:C,MATCH(M75,choices!A:A,0)+6),""),IF(M75=INDEX(choices!A:A,MATCH(M75,choices!A:A,0)+6), "
",""),IF(M75=INDEX(choices!A:A,MATCH(M75,choices!A:A,0)+7),INDEX(choices!C:C,MATCH(M75,choices!A:A,0)+7),""),IF(M75=INDEX(choices!A:A,MATCH(M75,choices!A:A,0)+7), "
",""),IF(M75=INDEX(choices!A:A,MATCH(M75,choices!A:A,0)+8),INDEX(choices!C:C,MATCH(M75,choices!A:A,0)+8),""),IF(M75=INDEX(choices!A:A,MATCH(M75,choices!A:A,0)+8), "
",""),IF(M75=INDEX(choices!A:A,MATCH(M75,choices!A:A,0)+9),INDEX(choices!C:C,MATCH(M75,choices!A:A,0)+9),""),IF(M75=INDEX(choices!A:A,MATCH(M75,choices!A:A,0)+9), "
",""),IF(M75=INDEX(choices!A:A,MATCH(M75,choices!A:A,0)+10),INDEX(choices!C:C,MATCH(M75,choices!A:A,0)+10),""),IF(M75=INDEX(choices!A:A,MATCH(M75,choices!A:A,0)+10), "
",""),IF(M75=INDEX(choices!A:A,MATCH(M75,choices!A:A,0)+11),INDEX(choices!C:C,MATCH(M75,choices!A:A,0)+11),""),IF(M75=INDEX(choices!A:A,MATCH(M75,choices!A:A,0)+11), "
",""),IF(M75=INDEX(choices!A:A,MATCH(M75,choices!A:A,0)+12),INDEX(choices!C:C,MATCH(M75,choices!A:A,0)+12),""),IF(M75=INDEX(choices!A:A,MATCH(M75,choices!A:A,0)+12), "
",""),IF(M75=INDEX(choices!A:A,MATCH(M75,choices!A:A,0)+13),INDEX(choices!C:C,MATCH(M75,choices!A:A,0)+13),""),IF(M75=INDEX(choices!A:A,MATCH(M75,choices!A:A,0)+13), "
",""),IF(M75=INDEX(choices!A:A,MATCH(M75,choices!A:A,0)+14),INDEX(choices!C:C,MATCH(M75,choices!A:A,0)+14),""),IF(M75=INDEX(choices!A:A,MATCH(M75,choices!A:A,0)+14), "
",""),IF(M75=INDEX(choices!A:A,MATCH(M75,choices!A:A,0)+15),INDEX(choices!C:C,MATCH(M75,choices!A:A,0)+15),""),IF(M75=INDEX(choices!A:A,MATCH(M75,choices!A:A,0)+15), "
",""),IF(M75=INDEX(choices!A:A,MATCH(M75,choices!A:A,0)+16),INDEX(choices!C:C,MATCH(M75,choices!A:A,0)+16),""),IF(M75=INDEX(choices!A:A,MATCH(M75,choices!A:A,0)+16), "
",""),IF(M75=INDEX(choices!A:A,MATCH(M75,choices!A:A,0)+17),INDEX(choices!C:C,MATCH(M75,choices!A:A,0)+17),""),IF(M75=INDEX(choices!A:A,MATCH(M75,choices!A:A,0)+17), "
",""),IF(M75=INDEX(choices!A:A,MATCH(M75,choices!A:A,0)+18),INDEX(choices!C:C,MATCH(M75,choices!A:A,0)+18),""),IF(M75=INDEX(choices!A:A,MATCH(M75,choices!A:A,0)+18), "
",""),IF(M75=INDEX(choices!A:A,MATCH(M75,choices!A:A,0)+19),INDEX(choices!C:C,MATCH(M75,choices!A:A,0)+19),""),IF(M75=INDEX(choices!A:A,MATCH(M75,choices!A:A,0)+19), "
",""),IF(M75=INDEX(choices!A:A,MATCH(M75,choices!A:A,0)+20),INDEX(choices!C:C,MATCH(M75,choices!A:A,0)+20),""),IF(M75=INDEX(choices!A:A,MATCH(M75,choices!A:A,0)+20), "
","")," ")</f>
        <v xml:space="preserve">1. نعم
2. لا
 </v>
      </c>
      <c r="H75" s="266">
        <f t="shared" si="12"/>
        <v>8</v>
      </c>
      <c r="I75" s="274" t="str">
        <f t="shared" si="7"/>
        <v>14409_8</v>
      </c>
      <c r="J75" s="267"/>
      <c r="K75" s="267"/>
      <c r="L75" s="267" t="s">
        <v>170</v>
      </c>
      <c r="M75" s="277" t="s">
        <v>17</v>
      </c>
      <c r="N75" s="64" t="str">
        <f t="shared" si="8"/>
        <v>q14409_8</v>
      </c>
      <c r="O75" s="306" t="str">
        <f t="shared" si="9"/>
        <v>14409_8. مدخلات زراعية (مثل: البذور)</v>
      </c>
      <c r="P75" s="257" t="str">
        <f t="shared" si="10"/>
        <v>14409_8. Agricultural inputs (ex: seeds)</v>
      </c>
      <c r="Q75" s="28"/>
      <c r="R75" s="28"/>
      <c r="S75" s="427" t="str">
        <f t="shared" si="11"/>
        <v xml:space="preserve">data('valid_overall') ==1 </v>
      </c>
      <c r="T75" s="262"/>
      <c r="U75" s="262"/>
      <c r="V75" s="262"/>
      <c r="W75" s="262"/>
      <c r="X75" s="262"/>
      <c r="Y75" s="71" t="b">
        <v>1</v>
      </c>
    </row>
    <row r="76" spans="1:31" s="265" customFormat="1" ht="45">
      <c r="A76" s="48" t="str">
        <f t="shared" si="6"/>
        <v>q14409_9</v>
      </c>
      <c r="B76" s="280" t="s">
        <v>929</v>
      </c>
      <c r="C76" s="280"/>
      <c r="D76" s="127" t="str">
        <f>CONCATENATE(INDEX(choices!D:D,MATCH(M76,choices!A:A,0)),"
",IF(M76=INDEX(choices!A:A,MATCH(M76,choices!A:A,0)+1),INDEX(choices!D:D,MATCH(M76,choices!A:A,0)+1),""),IF(M76=INDEX(choices!A:A,MATCH(M76,choices!A:A,0)+1), "
",""),IF(M76=INDEX(choices!A:A,MATCH(M76,choices!A:A,0)+2),INDEX(choices!D:D,MATCH(M76,choices!A:A,0)+2),""),IF(M76=INDEX(choices!A:A,MATCH(M76,choices!A:A,0)+2), "
",""),IF(M76=INDEX(choices!A:A,MATCH(M76,choices!A:A,0)+3),INDEX(choices!D:D,MATCH(M76,choices!A:A,0)+3),""),IF(M76=INDEX(choices!A:A,MATCH(M76,choices!A:A,0)+3), "
",""),IF(M76=INDEX(choices!A:A,MATCH(M76,choices!A:A,0)+4),INDEX(choices!D:D,MATCH(M76,choices!A:A,0)+4),""),IF(M76=INDEX(choices!A:A,MATCH(M76,choices!A:A,0)+4), "
",""),IF(M76=INDEX(choices!A:A,MATCH(M76,choices!A:A,0)+5),INDEX(choices!D:D,MATCH(M76,choices!A:A,0)+5),""),IF(M76=INDEX(choices!A:A,MATCH(M76,choices!A:A,0)+5), "
",""),IF(M76=INDEX(choices!A:A,MATCH(M76,choices!A:A,0)+6),INDEX(choices!D:D,MATCH(M76,choices!A:A,0)+6),""),IF(M76=INDEX(choices!A:A,MATCH(M76,choices!A:A,0)+6), "
",""),IF(M76=INDEX(choices!A:A,MATCH(M76,choices!A:A,0)+7),INDEX(choices!D:D,MATCH(M76,choices!A:A,0)+7),""),IF(M76=INDEX(choices!A:A,MATCH(M76,choices!A:A,0)+7), "
",""),IF(M76=INDEX(choices!A:A,MATCH(M76,choices!A:A,0)+8),INDEX(choices!D:D,MATCH(M76,choices!A:A,0)+8),""),IF(M76=INDEX(choices!A:A,MATCH(M76,choices!A:A,0)+8), "
",""),IF(M76=INDEX(choices!A:A,MATCH(M76,choices!A:A,0)+9),INDEX(choices!D:D,MATCH(M76,choices!A:A,0)+9),""),IF(M76=INDEX(choices!A:A,MATCH(M76,choices!A:A,0)+9), "
",""),IF(M76=INDEX(choices!A:A,MATCH(M76,choices!A:A,0)+10),INDEX(choices!D:D,MATCH(M76,choices!A:A,0)+10),""),IF(M76=INDEX(choices!A:A,MATCH(M76,choices!A:A,0)+10), "
",""),IF(M76=INDEX(choices!A:A,MATCH(M76,choices!A:A,0)+11),INDEX(choices!D:D,MATCH(M76,choices!A:A,0)+11),""),IF(M76=INDEX(choices!A:A,MATCH(M76,choices!A:A,0)+11), "
",""),IF(M76=INDEX(choices!A:A,MATCH(M76,choices!A:A,0)+12),INDEX(choices!D:D,MATCH(M76,choices!A:A,0)+12),""),IF(M76=INDEX(choices!A:A,MATCH(M76,choices!A:A,0)+12), "
",""),IF(M76=INDEX(choices!A:A,MATCH(M76,choices!A:A,0)+13),INDEX(choices!D:D,MATCH(M76,choices!A:A,0)+13),""),IF(M76=INDEX(choices!A:A,MATCH(M76,choices!A:A,0)+13), "
",""),IF(M76=INDEX(choices!A:A,MATCH(M76,choices!A:A,0)+14),INDEX(choices!D:D,MATCH(M76,choices!A:A,0)+14),""),IF(M76=INDEX(choices!A:A,MATCH(M76,choices!A:A,0)+14), "
",""),IF(M76=INDEX(choices!A:A,MATCH(M76,choices!A:A,0)+15),INDEX(choices!D:D,MATCH(M76,choices!A:A,0)+15),""),IF(M76=INDEX(choices!A:A,MATCH(M76,choices!A:A,0)+15), "
",""),IF(M76=INDEX(choices!A:A,MATCH(M76,choices!A:A,0)+16),INDEX(choices!D:D,MATCH(M76,choices!A:A,0)+16),""),IF(M76=INDEX(choices!A:A,MATCH(M76,choices!A:A,0)+16), "
",""),IF(M76=INDEX(choices!A:A,MATCH(M76,choices!A:A,0)+17),INDEX(choices!D:D,MATCH(M76,choices!A:A,0)+17),""),IF(M76=INDEX(choices!A:A,MATCH(M76,choices!A:A,0)+17), "
",""),IF(M76=INDEX(choices!A:A,MATCH(M76,choices!A:A,0)+18),INDEX(choices!D:D,MATCH(M76,choices!A:A,0)+18),""),IF(M76=INDEX(choices!A:A,MATCH(M76,choices!A:A,0)+18), "
",""),IF(M76=INDEX(choices!A:A,MATCH(M76,choices!A:A,0)+19),INDEX(choices!D:D,MATCH(M76,choices!A:A,0)+19),""),IF(M76=INDEX(choices!A:A,MATCH(M76,choices!A:A,0)+19), "
",""),IF(M76=INDEX(choices!A:A,MATCH(M76,choices!A:A,0)+20),INDEX(choices!D:D,MATCH(M76,choices!A:A,0)+20),""),IF(M76=INDEX(choices!A:A,MATCH(M76,choices!A:A,0)+20), "
",""))</f>
        <v xml:space="preserve">1. Yes
2. No
</v>
      </c>
      <c r="E76" s="366" t="s">
        <v>1232</v>
      </c>
      <c r="F76" s="280"/>
      <c r="G76" s="67" t="str">
        <f>CONCATENATE(INDEX(choices!C:C,MATCH(M76,choices!A:A,0)),"
",IF(M76=INDEX(choices!A:A,MATCH(M76,choices!A:A,0)+1),INDEX(choices!C:C,MATCH(M76,choices!A:A,0)+1),""),IF(M76=INDEX(choices!A:A,MATCH(M76,choices!A:A,0)+1), "
",""),IF(M76=INDEX(choices!A:A,MATCH(M76,choices!A:A,0)+2),INDEX(choices!C:C,MATCH(M76,choices!A:A,0)+2),""),IF(M76=INDEX(choices!A:A,MATCH(M76,choices!A:A,0)+2), "
",""),IF(M76=INDEX(choices!A:A,MATCH(M76,choices!A:A,0)+3),INDEX(choices!C:C,MATCH(M76,choices!A:A,0)+3),""),IF(M76=INDEX(choices!A:A,MATCH(M76,choices!A:A,0)+3), "
",""),IF(M76=INDEX(choices!A:A,MATCH(M76,choices!A:A,0)+4),INDEX(choices!C:C,MATCH(M76,choices!A:A,0)+4),""),IF(M76=INDEX(choices!A:A,MATCH(M76,choices!A:A,0)+4), "
",""),IF(M76=INDEX(choices!A:A,MATCH(M76,choices!A:A,0)+5),INDEX(choices!C:C,MATCH(M76,choices!A:A,0)+5),""),IF(M76=INDEX(choices!A:A,MATCH(M76,choices!A:A,0)+5), "
",""),IF(M76=INDEX(choices!A:A,MATCH(M76,choices!A:A,0)+6),INDEX(choices!C:C,MATCH(M76,choices!A:A,0)+6),""),IF(M76=INDEX(choices!A:A,MATCH(M76,choices!A:A,0)+6), "
",""),IF(M76=INDEX(choices!A:A,MATCH(M76,choices!A:A,0)+7),INDEX(choices!C:C,MATCH(M76,choices!A:A,0)+7),""),IF(M76=INDEX(choices!A:A,MATCH(M76,choices!A:A,0)+7), "
",""),IF(M76=INDEX(choices!A:A,MATCH(M76,choices!A:A,0)+8),INDEX(choices!C:C,MATCH(M76,choices!A:A,0)+8),""),IF(M76=INDEX(choices!A:A,MATCH(M76,choices!A:A,0)+8), "
",""),IF(M76=INDEX(choices!A:A,MATCH(M76,choices!A:A,0)+9),INDEX(choices!C:C,MATCH(M76,choices!A:A,0)+9),""),IF(M76=INDEX(choices!A:A,MATCH(M76,choices!A:A,0)+9), "
",""),IF(M76=INDEX(choices!A:A,MATCH(M76,choices!A:A,0)+10),INDEX(choices!C:C,MATCH(M76,choices!A:A,0)+10),""),IF(M76=INDEX(choices!A:A,MATCH(M76,choices!A:A,0)+10), "
",""),IF(M76=INDEX(choices!A:A,MATCH(M76,choices!A:A,0)+11),INDEX(choices!C:C,MATCH(M76,choices!A:A,0)+11),""),IF(M76=INDEX(choices!A:A,MATCH(M76,choices!A:A,0)+11), "
",""),IF(M76=INDEX(choices!A:A,MATCH(M76,choices!A:A,0)+12),INDEX(choices!C:C,MATCH(M76,choices!A:A,0)+12),""),IF(M76=INDEX(choices!A:A,MATCH(M76,choices!A:A,0)+12), "
",""),IF(M76=INDEX(choices!A:A,MATCH(M76,choices!A:A,0)+13),INDEX(choices!C:C,MATCH(M76,choices!A:A,0)+13),""),IF(M76=INDEX(choices!A:A,MATCH(M76,choices!A:A,0)+13), "
",""),IF(M76=INDEX(choices!A:A,MATCH(M76,choices!A:A,0)+14),INDEX(choices!C:C,MATCH(M76,choices!A:A,0)+14),""),IF(M76=INDEX(choices!A:A,MATCH(M76,choices!A:A,0)+14), "
",""),IF(M76=INDEX(choices!A:A,MATCH(M76,choices!A:A,0)+15),INDEX(choices!C:C,MATCH(M76,choices!A:A,0)+15),""),IF(M76=INDEX(choices!A:A,MATCH(M76,choices!A:A,0)+15), "
",""),IF(M76=INDEX(choices!A:A,MATCH(M76,choices!A:A,0)+16),INDEX(choices!C:C,MATCH(M76,choices!A:A,0)+16),""),IF(M76=INDEX(choices!A:A,MATCH(M76,choices!A:A,0)+16), "
",""),IF(M76=INDEX(choices!A:A,MATCH(M76,choices!A:A,0)+17),INDEX(choices!C:C,MATCH(M76,choices!A:A,0)+17),""),IF(M76=INDEX(choices!A:A,MATCH(M76,choices!A:A,0)+17), "
",""),IF(M76=INDEX(choices!A:A,MATCH(M76,choices!A:A,0)+18),INDEX(choices!C:C,MATCH(M76,choices!A:A,0)+18),""),IF(M76=INDEX(choices!A:A,MATCH(M76,choices!A:A,0)+18), "
",""),IF(M76=INDEX(choices!A:A,MATCH(M76,choices!A:A,0)+19),INDEX(choices!C:C,MATCH(M76,choices!A:A,0)+19),""),IF(M76=INDEX(choices!A:A,MATCH(M76,choices!A:A,0)+19), "
",""),IF(M76=INDEX(choices!A:A,MATCH(M76,choices!A:A,0)+20),INDEX(choices!C:C,MATCH(M76,choices!A:A,0)+20),""),IF(M76=INDEX(choices!A:A,MATCH(M76,choices!A:A,0)+20), "
","")," ")</f>
        <v xml:space="preserve">1. نعم
2. لا
 </v>
      </c>
      <c r="H76" s="266">
        <f t="shared" si="12"/>
        <v>9</v>
      </c>
      <c r="I76" s="274" t="str">
        <f t="shared" si="7"/>
        <v>14409_9</v>
      </c>
      <c r="J76" s="267"/>
      <c r="K76" s="267"/>
      <c r="L76" s="267" t="s">
        <v>170</v>
      </c>
      <c r="M76" s="277" t="s">
        <v>17</v>
      </c>
      <c r="N76" s="64" t="str">
        <f t="shared" si="8"/>
        <v>q14409_9</v>
      </c>
      <c r="O76" s="306" t="str">
        <f t="shared" si="9"/>
        <v>14409_9. أخرى (حدد)</v>
      </c>
      <c r="P76" s="257" t="str">
        <f t="shared" si="10"/>
        <v>14409_9. other, specify</v>
      </c>
      <c r="Q76" s="28"/>
      <c r="R76" s="28"/>
      <c r="S76" s="427" t="str">
        <f t="shared" si="11"/>
        <v xml:space="preserve">data('valid_overall') ==1 </v>
      </c>
      <c r="T76" s="262"/>
      <c r="U76" s="262"/>
      <c r="V76" s="262"/>
      <c r="W76" s="262"/>
      <c r="X76" s="262"/>
      <c r="Y76" s="71" t="b">
        <v>1</v>
      </c>
    </row>
    <row r="77" spans="1:31" s="1" customFormat="1">
      <c r="A77" s="28"/>
      <c r="B77" s="129"/>
      <c r="C77" s="129"/>
      <c r="D77" s="28"/>
      <c r="E77" s="138"/>
      <c r="F77" s="129"/>
      <c r="G77" s="133"/>
      <c r="H77" s="133"/>
      <c r="I77" s="28"/>
      <c r="J77" s="135" t="s">
        <v>23</v>
      </c>
      <c r="K77" s="14" t="str">
        <f>CONCATENATE("selected (data('",N76,"'), '1')")</f>
        <v>selected (data('q14409_9'), '1')</v>
      </c>
      <c r="L77" s="19"/>
      <c r="M77" s="12"/>
      <c r="N77" s="14"/>
      <c r="O77" s="48"/>
      <c r="P77" s="31"/>
      <c r="Q77" s="31"/>
      <c r="R77" s="28"/>
      <c r="S77" s="43"/>
      <c r="T77" s="14"/>
      <c r="U77" s="14"/>
      <c r="V77" s="14"/>
      <c r="W77" s="14"/>
      <c r="X77" s="14"/>
      <c r="Y77" s="28"/>
      <c r="Z77" s="28"/>
      <c r="AA77" s="14"/>
      <c r="AB77" s="6"/>
      <c r="AC77" s="14"/>
      <c r="AD77" s="14"/>
      <c r="AE77" s="14"/>
    </row>
    <row r="78" spans="1:31" s="1" customFormat="1" ht="30">
      <c r="A78" s="28" t="str">
        <f>CONCATENATE(A76,"_other")</f>
        <v>q14409_9_other</v>
      </c>
      <c r="B78" s="129" t="s">
        <v>393</v>
      </c>
      <c r="C78" s="129"/>
      <c r="D78" s="28"/>
      <c r="E78" s="138" t="s">
        <v>1088</v>
      </c>
      <c r="F78" s="129"/>
      <c r="G78" s="133"/>
      <c r="H78" s="133"/>
      <c r="I78" s="28" t="str">
        <f>CONCATENATE(I76,"_other")</f>
        <v>14409_9_other</v>
      </c>
      <c r="J78" s="43"/>
      <c r="K78" s="14"/>
      <c r="L78" s="19" t="s">
        <v>8</v>
      </c>
      <c r="M78" s="12"/>
      <c r="N78" s="14" t="str">
        <f>CONCATENATE("q",I78)</f>
        <v>q14409_9_other</v>
      </c>
      <c r="O78" s="48" t="str">
        <f>CONCATENATE(I78,". ",E78)</f>
        <v>14409_9_other. أخرى</v>
      </c>
      <c r="P78" s="48" t="str">
        <f>CONCATENATE($I78,". ",B78)</f>
        <v xml:space="preserve">14409_9_other. Other: </v>
      </c>
      <c r="Q78" s="28"/>
      <c r="R78" s="28"/>
      <c r="S78" s="43" t="str">
        <f>CONCATENATE(K77, " &amp;&amp; ", '1_0_statistical_identification'!$S$164)</f>
        <v>selected (data('q14409_9'), '1') &amp;&amp; (data('valid_overall') == 1)</v>
      </c>
      <c r="T78" s="47"/>
      <c r="U78" s="47"/>
      <c r="V78" s="47"/>
      <c r="W78" s="47"/>
      <c r="X78" s="47"/>
      <c r="Y78" s="14" t="b">
        <v>1</v>
      </c>
      <c r="Z78" s="28"/>
      <c r="AB78" s="6"/>
      <c r="AC78" s="14"/>
      <c r="AD78" s="19"/>
      <c r="AE78" s="14"/>
    </row>
    <row r="79" spans="1:31" s="1" customFormat="1">
      <c r="A79" s="28"/>
      <c r="B79" s="129"/>
      <c r="C79" s="129"/>
      <c r="D79" s="28"/>
      <c r="E79" s="138"/>
      <c r="F79" s="129"/>
      <c r="G79" s="133"/>
      <c r="H79" s="134"/>
      <c r="I79" s="28"/>
      <c r="J79" s="135" t="s">
        <v>24</v>
      </c>
      <c r="K79" s="14"/>
      <c r="L79" s="19"/>
      <c r="M79" s="12"/>
      <c r="N79" s="14"/>
      <c r="O79" s="48"/>
      <c r="P79" s="31"/>
      <c r="Q79" s="31"/>
      <c r="R79" s="28"/>
      <c r="S79" s="43"/>
      <c r="T79" s="14"/>
      <c r="U79" s="14"/>
      <c r="V79" s="14"/>
      <c r="W79" s="14"/>
      <c r="X79" s="14"/>
      <c r="Y79" s="28"/>
      <c r="Z79" s="28"/>
      <c r="AA79" s="14"/>
      <c r="AB79" s="6"/>
      <c r="AC79" s="14"/>
      <c r="AD79" s="14"/>
      <c r="AE79" s="14"/>
    </row>
    <row r="80" spans="1:31" s="1" customFormat="1">
      <c r="A80" s="28"/>
      <c r="B80" s="129"/>
      <c r="C80" s="129"/>
      <c r="D80" s="28"/>
      <c r="E80" s="138"/>
      <c r="F80" s="129"/>
      <c r="G80" s="133"/>
      <c r="H80" s="134"/>
      <c r="I80" s="28"/>
      <c r="J80" s="267" t="s">
        <v>21</v>
      </c>
      <c r="K80" s="14"/>
      <c r="L80" s="19"/>
      <c r="M80" s="12"/>
      <c r="N80" s="14"/>
      <c r="O80" s="48"/>
      <c r="P80" s="31"/>
      <c r="Q80" s="31"/>
      <c r="R80" s="28"/>
      <c r="S80" s="43"/>
      <c r="T80" s="14"/>
      <c r="U80" s="14"/>
      <c r="V80" s="14"/>
      <c r="W80" s="14"/>
      <c r="X80" s="14"/>
      <c r="Y80" s="28"/>
      <c r="Z80" s="28"/>
      <c r="AA80" s="14"/>
      <c r="AB80" s="6"/>
      <c r="AC80" s="14"/>
      <c r="AD80" s="14"/>
      <c r="AE80" s="14"/>
    </row>
    <row r="81" spans="1:31" s="1" customFormat="1">
      <c r="A81" s="28"/>
      <c r="B81" s="129"/>
      <c r="C81" s="129"/>
      <c r="D81" s="28"/>
      <c r="E81" s="138"/>
      <c r="F81" s="129"/>
      <c r="G81" s="133"/>
      <c r="H81" s="134"/>
      <c r="I81" s="28"/>
      <c r="J81" s="267" t="s">
        <v>20</v>
      </c>
      <c r="K81" s="14"/>
      <c r="L81" s="19"/>
      <c r="M81" s="12"/>
      <c r="N81" s="14"/>
      <c r="O81" s="407"/>
      <c r="P81" s="31"/>
      <c r="Q81" s="31"/>
      <c r="R81" s="28"/>
      <c r="S81" s="43"/>
      <c r="T81" s="14"/>
      <c r="U81" s="14"/>
      <c r="V81" s="14"/>
      <c r="W81" s="14"/>
      <c r="X81" s="14"/>
      <c r="Y81" s="28"/>
      <c r="Z81" s="28"/>
      <c r="AA81" s="14"/>
      <c r="AB81" s="6"/>
      <c r="AC81" s="14"/>
      <c r="AD81" s="14"/>
      <c r="AE81" s="14"/>
    </row>
    <row r="82" spans="1:31" s="265" customFormat="1" ht="135.75">
      <c r="B82" s="279" t="s">
        <v>932</v>
      </c>
      <c r="C82" s="279"/>
      <c r="D82" s="266"/>
      <c r="E82" s="365" t="s">
        <v>1242</v>
      </c>
      <c r="F82" s="279"/>
      <c r="G82" s="266"/>
      <c r="J82" s="266"/>
      <c r="L82" s="278" t="s">
        <v>22</v>
      </c>
      <c r="M82" s="266"/>
      <c r="N82" s="266"/>
      <c r="O82" s="266" t="str">
        <f>E82</f>
        <v>في العام الماضي، هل أرسلت دعم مالي أو عيني إلى أي من أفراد العائلة (ممن ليسوا في الأسرة المعيشية) أو إلى جيران، لأي من البنود التالية:</v>
      </c>
      <c r="P82" s="269" t="str">
        <f>B82</f>
        <v>In the past year, did you provide  family (not in the household) or neighbors for financial or in-kind support with any of the following?</v>
      </c>
      <c r="Q82" s="266"/>
      <c r="R82" s="266"/>
      <c r="S82" s="426"/>
    </row>
    <row r="83" spans="1:31" s="265" customFormat="1">
      <c r="B83" s="266"/>
      <c r="C83" s="266"/>
      <c r="D83" s="266"/>
      <c r="F83" s="266"/>
      <c r="G83" s="266"/>
      <c r="I83" s="265">
        <f>I67+1</f>
        <v>14410</v>
      </c>
      <c r="K83" s="267"/>
      <c r="L83" s="267"/>
      <c r="N83" s="267"/>
      <c r="O83" s="266"/>
      <c r="P83" s="266"/>
      <c r="Q83" s="266"/>
      <c r="R83" s="266"/>
      <c r="S83" s="426"/>
    </row>
    <row r="84" spans="1:31" s="265" customFormat="1" ht="47.25">
      <c r="A84" s="48" t="str">
        <f t="shared" ref="A84:A92" si="13">N84</f>
        <v>q14410_1</v>
      </c>
      <c r="B84" s="280" t="s">
        <v>933</v>
      </c>
      <c r="C84" s="280"/>
      <c r="D84" s="127" t="str">
        <f>CONCATENATE(INDEX(choices!D:D,MATCH(M84,choices!A:A,0)),"
",IF(M84=INDEX(choices!A:A,MATCH(M84,choices!A:A,0)+1),INDEX(choices!D:D,MATCH(M84,choices!A:A,0)+1),""),IF(M84=INDEX(choices!A:A,MATCH(M84,choices!A:A,0)+1), "
",""),IF(M84=INDEX(choices!A:A,MATCH(M84,choices!A:A,0)+2),INDEX(choices!D:D,MATCH(M84,choices!A:A,0)+2),""),IF(M84=INDEX(choices!A:A,MATCH(M84,choices!A:A,0)+2), "
",""),IF(M84=INDEX(choices!A:A,MATCH(M84,choices!A:A,0)+3),INDEX(choices!D:D,MATCH(M84,choices!A:A,0)+3),""),IF(M84=INDEX(choices!A:A,MATCH(M84,choices!A:A,0)+3), "
",""),IF(M84=INDEX(choices!A:A,MATCH(M84,choices!A:A,0)+4),INDEX(choices!D:D,MATCH(M84,choices!A:A,0)+4),""),IF(M84=INDEX(choices!A:A,MATCH(M84,choices!A:A,0)+4), "
",""),IF(M84=INDEX(choices!A:A,MATCH(M84,choices!A:A,0)+5),INDEX(choices!D:D,MATCH(M84,choices!A:A,0)+5),""),IF(M84=INDEX(choices!A:A,MATCH(M84,choices!A:A,0)+5), "
",""),IF(M84=INDEX(choices!A:A,MATCH(M84,choices!A:A,0)+6),INDEX(choices!D:D,MATCH(M84,choices!A:A,0)+6),""),IF(M84=INDEX(choices!A:A,MATCH(M84,choices!A:A,0)+6), "
",""),IF(M84=INDEX(choices!A:A,MATCH(M84,choices!A:A,0)+7),INDEX(choices!D:D,MATCH(M84,choices!A:A,0)+7),""),IF(M84=INDEX(choices!A:A,MATCH(M84,choices!A:A,0)+7), "
",""),IF(M84=INDEX(choices!A:A,MATCH(M84,choices!A:A,0)+8),INDEX(choices!D:D,MATCH(M84,choices!A:A,0)+8),""),IF(M84=INDEX(choices!A:A,MATCH(M84,choices!A:A,0)+8), "
",""),IF(M84=INDEX(choices!A:A,MATCH(M84,choices!A:A,0)+9),INDEX(choices!D:D,MATCH(M84,choices!A:A,0)+9),""),IF(M84=INDEX(choices!A:A,MATCH(M84,choices!A:A,0)+9), "
",""),IF(M84=INDEX(choices!A:A,MATCH(M84,choices!A:A,0)+10),INDEX(choices!D:D,MATCH(M84,choices!A:A,0)+10),""),IF(M84=INDEX(choices!A:A,MATCH(M84,choices!A:A,0)+10), "
",""),IF(M84=INDEX(choices!A:A,MATCH(M84,choices!A:A,0)+11),INDEX(choices!D:D,MATCH(M84,choices!A:A,0)+11),""),IF(M84=INDEX(choices!A:A,MATCH(M84,choices!A:A,0)+11), "
",""),IF(M84=INDEX(choices!A:A,MATCH(M84,choices!A:A,0)+12),INDEX(choices!D:D,MATCH(M84,choices!A:A,0)+12),""),IF(M84=INDEX(choices!A:A,MATCH(M84,choices!A:A,0)+12), "
",""),IF(M84=INDEX(choices!A:A,MATCH(M84,choices!A:A,0)+13),INDEX(choices!D:D,MATCH(M84,choices!A:A,0)+13),""),IF(M84=INDEX(choices!A:A,MATCH(M84,choices!A:A,0)+13), "
",""),IF(M84=INDEX(choices!A:A,MATCH(M84,choices!A:A,0)+14),INDEX(choices!D:D,MATCH(M84,choices!A:A,0)+14),""),IF(M84=INDEX(choices!A:A,MATCH(M84,choices!A:A,0)+14), "
",""),IF(M84=INDEX(choices!A:A,MATCH(M84,choices!A:A,0)+15),INDEX(choices!D:D,MATCH(M84,choices!A:A,0)+15),""),IF(M84=INDEX(choices!A:A,MATCH(M84,choices!A:A,0)+15), "
",""),IF(M84=INDEX(choices!A:A,MATCH(M84,choices!A:A,0)+16),INDEX(choices!D:D,MATCH(M84,choices!A:A,0)+16),""),IF(M84=INDEX(choices!A:A,MATCH(M84,choices!A:A,0)+16), "
",""),IF(M84=INDEX(choices!A:A,MATCH(M84,choices!A:A,0)+17),INDEX(choices!D:D,MATCH(M84,choices!A:A,0)+17),""),IF(M84=INDEX(choices!A:A,MATCH(M84,choices!A:A,0)+17), "
",""),IF(M84=INDEX(choices!A:A,MATCH(M84,choices!A:A,0)+18),INDEX(choices!D:D,MATCH(M84,choices!A:A,0)+18),""),IF(M84=INDEX(choices!A:A,MATCH(M84,choices!A:A,0)+18), "
",""),IF(M84=INDEX(choices!A:A,MATCH(M84,choices!A:A,0)+19),INDEX(choices!D:D,MATCH(M84,choices!A:A,0)+19),""),IF(M84=INDEX(choices!A:A,MATCH(M84,choices!A:A,0)+19), "
",""),IF(M84=INDEX(choices!A:A,MATCH(M84,choices!A:A,0)+20),INDEX(choices!D:D,MATCH(M84,choices!A:A,0)+20),""),IF(M84=INDEX(choices!A:A,MATCH(M84,choices!A:A,0)+20), "
",""))</f>
        <v xml:space="preserve">1. Yes
2. No
</v>
      </c>
      <c r="E84" s="366" t="s">
        <v>1234</v>
      </c>
      <c r="F84" s="280"/>
      <c r="G84" s="67" t="str">
        <f>CONCATENATE(INDEX(choices!C:C,MATCH(M84,choices!A:A,0)),"
",IF(M84=INDEX(choices!A:A,MATCH(M84,choices!A:A,0)+1),INDEX(choices!C:C,MATCH(M84,choices!A:A,0)+1),""),IF(M84=INDEX(choices!A:A,MATCH(M84,choices!A:A,0)+1), "
",""),IF(M84=INDEX(choices!A:A,MATCH(M84,choices!A:A,0)+2),INDEX(choices!C:C,MATCH(M84,choices!A:A,0)+2),""),IF(M84=INDEX(choices!A:A,MATCH(M84,choices!A:A,0)+2), "
",""),IF(M84=INDEX(choices!A:A,MATCH(M84,choices!A:A,0)+3),INDEX(choices!C:C,MATCH(M84,choices!A:A,0)+3),""),IF(M84=INDEX(choices!A:A,MATCH(M84,choices!A:A,0)+3), "
",""),IF(M84=INDEX(choices!A:A,MATCH(M84,choices!A:A,0)+4),INDEX(choices!C:C,MATCH(M84,choices!A:A,0)+4),""),IF(M84=INDEX(choices!A:A,MATCH(M84,choices!A:A,0)+4), "
",""),IF(M84=INDEX(choices!A:A,MATCH(M84,choices!A:A,0)+5),INDEX(choices!C:C,MATCH(M84,choices!A:A,0)+5),""),IF(M84=INDEX(choices!A:A,MATCH(M84,choices!A:A,0)+5), "
",""),IF(M84=INDEX(choices!A:A,MATCH(M84,choices!A:A,0)+6),INDEX(choices!C:C,MATCH(M84,choices!A:A,0)+6),""),IF(M84=INDEX(choices!A:A,MATCH(M84,choices!A:A,0)+6), "
",""),IF(M84=INDEX(choices!A:A,MATCH(M84,choices!A:A,0)+7),INDEX(choices!C:C,MATCH(M84,choices!A:A,0)+7),""),IF(M84=INDEX(choices!A:A,MATCH(M84,choices!A:A,0)+7), "
",""),IF(M84=INDEX(choices!A:A,MATCH(M84,choices!A:A,0)+8),INDEX(choices!C:C,MATCH(M84,choices!A:A,0)+8),""),IF(M84=INDEX(choices!A:A,MATCH(M84,choices!A:A,0)+8), "
",""),IF(M84=INDEX(choices!A:A,MATCH(M84,choices!A:A,0)+9),INDEX(choices!C:C,MATCH(M84,choices!A:A,0)+9),""),IF(M84=INDEX(choices!A:A,MATCH(M84,choices!A:A,0)+9), "
",""),IF(M84=INDEX(choices!A:A,MATCH(M84,choices!A:A,0)+10),INDEX(choices!C:C,MATCH(M84,choices!A:A,0)+10),""),IF(M84=INDEX(choices!A:A,MATCH(M84,choices!A:A,0)+10), "
",""),IF(M84=INDEX(choices!A:A,MATCH(M84,choices!A:A,0)+11),INDEX(choices!C:C,MATCH(M84,choices!A:A,0)+11),""),IF(M84=INDEX(choices!A:A,MATCH(M84,choices!A:A,0)+11), "
",""),IF(M84=INDEX(choices!A:A,MATCH(M84,choices!A:A,0)+12),INDEX(choices!C:C,MATCH(M84,choices!A:A,0)+12),""),IF(M84=INDEX(choices!A:A,MATCH(M84,choices!A:A,0)+12), "
",""),IF(M84=INDEX(choices!A:A,MATCH(M84,choices!A:A,0)+13),INDEX(choices!C:C,MATCH(M84,choices!A:A,0)+13),""),IF(M84=INDEX(choices!A:A,MATCH(M84,choices!A:A,0)+13), "
",""),IF(M84=INDEX(choices!A:A,MATCH(M84,choices!A:A,0)+14),INDEX(choices!C:C,MATCH(M84,choices!A:A,0)+14),""),IF(M84=INDEX(choices!A:A,MATCH(M84,choices!A:A,0)+14), "
",""),IF(M84=INDEX(choices!A:A,MATCH(M84,choices!A:A,0)+15),INDEX(choices!C:C,MATCH(M84,choices!A:A,0)+15),""),IF(M84=INDEX(choices!A:A,MATCH(M84,choices!A:A,0)+15), "
",""),IF(M84=INDEX(choices!A:A,MATCH(M84,choices!A:A,0)+16),INDEX(choices!C:C,MATCH(M84,choices!A:A,0)+16),""),IF(M84=INDEX(choices!A:A,MATCH(M84,choices!A:A,0)+16), "
",""),IF(M84=INDEX(choices!A:A,MATCH(M84,choices!A:A,0)+17),INDEX(choices!C:C,MATCH(M84,choices!A:A,0)+17),""),IF(M84=INDEX(choices!A:A,MATCH(M84,choices!A:A,0)+17), "
",""),IF(M84=INDEX(choices!A:A,MATCH(M84,choices!A:A,0)+18),INDEX(choices!C:C,MATCH(M84,choices!A:A,0)+18),""),IF(M84=INDEX(choices!A:A,MATCH(M84,choices!A:A,0)+18), "
",""),IF(M84=INDEX(choices!A:A,MATCH(M84,choices!A:A,0)+19),INDEX(choices!C:C,MATCH(M84,choices!A:A,0)+19),""),IF(M84=INDEX(choices!A:A,MATCH(M84,choices!A:A,0)+19), "
",""),IF(M84=INDEX(choices!A:A,MATCH(M84,choices!A:A,0)+20),INDEX(choices!C:C,MATCH(M84,choices!A:A,0)+20),""),IF(M84=INDEX(choices!A:A,MATCH(M84,choices!A:A,0)+20), "
","")," ")</f>
        <v xml:space="preserve">1. نعم
2. لا
 </v>
      </c>
      <c r="H84" s="272">
        <v>1</v>
      </c>
      <c r="I84" s="274" t="str">
        <f t="shared" ref="I84:I92" si="14">CONCATENATE(I$83, "_",H84)</f>
        <v>14410_1</v>
      </c>
      <c r="J84" s="267"/>
      <c r="K84" s="267"/>
      <c r="L84" s="267" t="s">
        <v>170</v>
      </c>
      <c r="M84" s="277" t="s">
        <v>17</v>
      </c>
      <c r="N84" s="64" t="str">
        <f t="shared" ref="N84:N92" si="15">CONCATENATE("q",I84)</f>
        <v>q14410_1</v>
      </c>
      <c r="O84" s="306" t="str">
        <f t="shared" ref="O84:O92" si="16">CONCATENATE(I84,". ",E84)</f>
        <v xml:space="preserve">14410_1. نفقات طبية/عيادة/مستشفى </v>
      </c>
      <c r="P84" s="257" t="str">
        <f t="shared" ref="P84:P92" si="17">CONCATENATE(I84,". ",B84)</f>
        <v>14410_1. Medical/Clinic/Hospital expense</v>
      </c>
      <c r="Q84" s="28"/>
      <c r="R84" s="28"/>
      <c r="S84" s="427" t="str">
        <f t="shared" ref="S84:S92" si="18">CONCATENATE("data('valid_overall') ==1 ")</f>
        <v xml:space="preserve">data('valid_overall') ==1 </v>
      </c>
      <c r="T84" s="262"/>
      <c r="U84" s="262"/>
      <c r="V84" s="262"/>
      <c r="W84" s="262"/>
      <c r="X84" s="262"/>
      <c r="Y84" s="1" t="b">
        <v>1</v>
      </c>
    </row>
    <row r="85" spans="1:31" s="265" customFormat="1" ht="45">
      <c r="A85" s="48" t="str">
        <f t="shared" si="13"/>
        <v>q14410_2</v>
      </c>
      <c r="B85" s="280" t="s">
        <v>934</v>
      </c>
      <c r="C85" s="280"/>
      <c r="D85" s="127" t="str">
        <f>CONCATENATE(INDEX(choices!D:D,MATCH(M85,choices!A:A,0)),"
",IF(M85=INDEX(choices!A:A,MATCH(M85,choices!A:A,0)+1),INDEX(choices!D:D,MATCH(M85,choices!A:A,0)+1),""),IF(M85=INDEX(choices!A:A,MATCH(M85,choices!A:A,0)+1), "
",""),IF(M85=INDEX(choices!A:A,MATCH(M85,choices!A:A,0)+2),INDEX(choices!D:D,MATCH(M85,choices!A:A,0)+2),""),IF(M85=INDEX(choices!A:A,MATCH(M85,choices!A:A,0)+2), "
",""),IF(M85=INDEX(choices!A:A,MATCH(M85,choices!A:A,0)+3),INDEX(choices!D:D,MATCH(M85,choices!A:A,0)+3),""),IF(M85=INDEX(choices!A:A,MATCH(M85,choices!A:A,0)+3), "
",""),IF(M85=INDEX(choices!A:A,MATCH(M85,choices!A:A,0)+4),INDEX(choices!D:D,MATCH(M85,choices!A:A,0)+4),""),IF(M85=INDEX(choices!A:A,MATCH(M85,choices!A:A,0)+4), "
",""),IF(M85=INDEX(choices!A:A,MATCH(M85,choices!A:A,0)+5),INDEX(choices!D:D,MATCH(M85,choices!A:A,0)+5),""),IF(M85=INDEX(choices!A:A,MATCH(M85,choices!A:A,0)+5), "
",""),IF(M85=INDEX(choices!A:A,MATCH(M85,choices!A:A,0)+6),INDEX(choices!D:D,MATCH(M85,choices!A:A,0)+6),""),IF(M85=INDEX(choices!A:A,MATCH(M85,choices!A:A,0)+6), "
",""),IF(M85=INDEX(choices!A:A,MATCH(M85,choices!A:A,0)+7),INDEX(choices!D:D,MATCH(M85,choices!A:A,0)+7),""),IF(M85=INDEX(choices!A:A,MATCH(M85,choices!A:A,0)+7), "
",""),IF(M85=INDEX(choices!A:A,MATCH(M85,choices!A:A,0)+8),INDEX(choices!D:D,MATCH(M85,choices!A:A,0)+8),""),IF(M85=INDEX(choices!A:A,MATCH(M85,choices!A:A,0)+8), "
",""),IF(M85=INDEX(choices!A:A,MATCH(M85,choices!A:A,0)+9),INDEX(choices!D:D,MATCH(M85,choices!A:A,0)+9),""),IF(M85=INDEX(choices!A:A,MATCH(M85,choices!A:A,0)+9), "
",""),IF(M85=INDEX(choices!A:A,MATCH(M85,choices!A:A,0)+10),INDEX(choices!D:D,MATCH(M85,choices!A:A,0)+10),""),IF(M85=INDEX(choices!A:A,MATCH(M85,choices!A:A,0)+10), "
",""),IF(M85=INDEX(choices!A:A,MATCH(M85,choices!A:A,0)+11),INDEX(choices!D:D,MATCH(M85,choices!A:A,0)+11),""),IF(M85=INDEX(choices!A:A,MATCH(M85,choices!A:A,0)+11), "
",""),IF(M85=INDEX(choices!A:A,MATCH(M85,choices!A:A,0)+12),INDEX(choices!D:D,MATCH(M85,choices!A:A,0)+12),""),IF(M85=INDEX(choices!A:A,MATCH(M85,choices!A:A,0)+12), "
",""),IF(M85=INDEX(choices!A:A,MATCH(M85,choices!A:A,0)+13),INDEX(choices!D:D,MATCH(M85,choices!A:A,0)+13),""),IF(M85=INDEX(choices!A:A,MATCH(M85,choices!A:A,0)+13), "
",""),IF(M85=INDEX(choices!A:A,MATCH(M85,choices!A:A,0)+14),INDEX(choices!D:D,MATCH(M85,choices!A:A,0)+14),""),IF(M85=INDEX(choices!A:A,MATCH(M85,choices!A:A,0)+14), "
",""),IF(M85=INDEX(choices!A:A,MATCH(M85,choices!A:A,0)+15),INDEX(choices!D:D,MATCH(M85,choices!A:A,0)+15),""),IF(M85=INDEX(choices!A:A,MATCH(M85,choices!A:A,0)+15), "
",""),IF(M85=INDEX(choices!A:A,MATCH(M85,choices!A:A,0)+16),INDEX(choices!D:D,MATCH(M85,choices!A:A,0)+16),""),IF(M85=INDEX(choices!A:A,MATCH(M85,choices!A:A,0)+16), "
",""),IF(M85=INDEX(choices!A:A,MATCH(M85,choices!A:A,0)+17),INDEX(choices!D:D,MATCH(M85,choices!A:A,0)+17),""),IF(M85=INDEX(choices!A:A,MATCH(M85,choices!A:A,0)+17), "
",""),IF(M85=INDEX(choices!A:A,MATCH(M85,choices!A:A,0)+18),INDEX(choices!D:D,MATCH(M85,choices!A:A,0)+18),""),IF(M85=INDEX(choices!A:A,MATCH(M85,choices!A:A,0)+18), "
",""),IF(M85=INDEX(choices!A:A,MATCH(M85,choices!A:A,0)+19),INDEX(choices!D:D,MATCH(M85,choices!A:A,0)+19),""),IF(M85=INDEX(choices!A:A,MATCH(M85,choices!A:A,0)+19), "
",""),IF(M85=INDEX(choices!A:A,MATCH(M85,choices!A:A,0)+20),INDEX(choices!D:D,MATCH(M85,choices!A:A,0)+20),""),IF(M85=INDEX(choices!A:A,MATCH(M85,choices!A:A,0)+20), "
",""))</f>
        <v xml:space="preserve">1. Yes
2. No
</v>
      </c>
      <c r="E85" s="366" t="s">
        <v>1235</v>
      </c>
      <c r="F85" s="280"/>
      <c r="G85" s="67" t="str">
        <f>CONCATENATE(INDEX(choices!C:C,MATCH(M85,choices!A:A,0)),"
",IF(M85=INDEX(choices!A:A,MATCH(M85,choices!A:A,0)+1),INDEX(choices!C:C,MATCH(M85,choices!A:A,0)+1),""),IF(M85=INDEX(choices!A:A,MATCH(M85,choices!A:A,0)+1), "
",""),IF(M85=INDEX(choices!A:A,MATCH(M85,choices!A:A,0)+2),INDEX(choices!C:C,MATCH(M85,choices!A:A,0)+2),""),IF(M85=INDEX(choices!A:A,MATCH(M85,choices!A:A,0)+2), "
",""),IF(M85=INDEX(choices!A:A,MATCH(M85,choices!A:A,0)+3),INDEX(choices!C:C,MATCH(M85,choices!A:A,0)+3),""),IF(M85=INDEX(choices!A:A,MATCH(M85,choices!A:A,0)+3), "
",""),IF(M85=INDEX(choices!A:A,MATCH(M85,choices!A:A,0)+4),INDEX(choices!C:C,MATCH(M85,choices!A:A,0)+4),""),IF(M85=INDEX(choices!A:A,MATCH(M85,choices!A:A,0)+4), "
",""),IF(M85=INDEX(choices!A:A,MATCH(M85,choices!A:A,0)+5),INDEX(choices!C:C,MATCH(M85,choices!A:A,0)+5),""),IF(M85=INDEX(choices!A:A,MATCH(M85,choices!A:A,0)+5), "
",""),IF(M85=INDEX(choices!A:A,MATCH(M85,choices!A:A,0)+6),INDEX(choices!C:C,MATCH(M85,choices!A:A,0)+6),""),IF(M85=INDEX(choices!A:A,MATCH(M85,choices!A:A,0)+6), "
",""),IF(M85=INDEX(choices!A:A,MATCH(M85,choices!A:A,0)+7),INDEX(choices!C:C,MATCH(M85,choices!A:A,0)+7),""),IF(M85=INDEX(choices!A:A,MATCH(M85,choices!A:A,0)+7), "
",""),IF(M85=INDEX(choices!A:A,MATCH(M85,choices!A:A,0)+8),INDEX(choices!C:C,MATCH(M85,choices!A:A,0)+8),""),IF(M85=INDEX(choices!A:A,MATCH(M85,choices!A:A,0)+8), "
",""),IF(M85=INDEX(choices!A:A,MATCH(M85,choices!A:A,0)+9),INDEX(choices!C:C,MATCH(M85,choices!A:A,0)+9),""),IF(M85=INDEX(choices!A:A,MATCH(M85,choices!A:A,0)+9), "
",""),IF(M85=INDEX(choices!A:A,MATCH(M85,choices!A:A,0)+10),INDEX(choices!C:C,MATCH(M85,choices!A:A,0)+10),""),IF(M85=INDEX(choices!A:A,MATCH(M85,choices!A:A,0)+10), "
",""),IF(M85=INDEX(choices!A:A,MATCH(M85,choices!A:A,0)+11),INDEX(choices!C:C,MATCH(M85,choices!A:A,0)+11),""),IF(M85=INDEX(choices!A:A,MATCH(M85,choices!A:A,0)+11), "
",""),IF(M85=INDEX(choices!A:A,MATCH(M85,choices!A:A,0)+12),INDEX(choices!C:C,MATCH(M85,choices!A:A,0)+12),""),IF(M85=INDEX(choices!A:A,MATCH(M85,choices!A:A,0)+12), "
",""),IF(M85=INDEX(choices!A:A,MATCH(M85,choices!A:A,0)+13),INDEX(choices!C:C,MATCH(M85,choices!A:A,0)+13),""),IF(M85=INDEX(choices!A:A,MATCH(M85,choices!A:A,0)+13), "
",""),IF(M85=INDEX(choices!A:A,MATCH(M85,choices!A:A,0)+14),INDEX(choices!C:C,MATCH(M85,choices!A:A,0)+14),""),IF(M85=INDEX(choices!A:A,MATCH(M85,choices!A:A,0)+14), "
",""),IF(M85=INDEX(choices!A:A,MATCH(M85,choices!A:A,0)+15),INDEX(choices!C:C,MATCH(M85,choices!A:A,0)+15),""),IF(M85=INDEX(choices!A:A,MATCH(M85,choices!A:A,0)+15), "
",""),IF(M85=INDEX(choices!A:A,MATCH(M85,choices!A:A,0)+16),INDEX(choices!C:C,MATCH(M85,choices!A:A,0)+16),""),IF(M85=INDEX(choices!A:A,MATCH(M85,choices!A:A,0)+16), "
",""),IF(M85=INDEX(choices!A:A,MATCH(M85,choices!A:A,0)+17),INDEX(choices!C:C,MATCH(M85,choices!A:A,0)+17),""),IF(M85=INDEX(choices!A:A,MATCH(M85,choices!A:A,0)+17), "
",""),IF(M85=INDEX(choices!A:A,MATCH(M85,choices!A:A,0)+18),INDEX(choices!C:C,MATCH(M85,choices!A:A,0)+18),""),IF(M85=INDEX(choices!A:A,MATCH(M85,choices!A:A,0)+18), "
",""),IF(M85=INDEX(choices!A:A,MATCH(M85,choices!A:A,0)+19),INDEX(choices!C:C,MATCH(M85,choices!A:A,0)+19),""),IF(M85=INDEX(choices!A:A,MATCH(M85,choices!A:A,0)+19), "
",""),IF(M85=INDEX(choices!A:A,MATCH(M85,choices!A:A,0)+20),INDEX(choices!C:C,MATCH(M85,choices!A:A,0)+20),""),IF(M85=INDEX(choices!A:A,MATCH(M85,choices!A:A,0)+20), "
","")," ")</f>
        <v xml:space="preserve">1. نعم
2. لا
 </v>
      </c>
      <c r="H85" s="266">
        <f t="shared" ref="H85:H92" si="19">H84+1</f>
        <v>2</v>
      </c>
      <c r="I85" s="274" t="str">
        <f t="shared" si="14"/>
        <v>14410_2</v>
      </c>
      <c r="J85" s="267"/>
      <c r="K85" s="267"/>
      <c r="L85" s="267" t="s">
        <v>170</v>
      </c>
      <c r="M85" s="277" t="s">
        <v>17</v>
      </c>
      <c r="N85" s="64" t="str">
        <f t="shared" si="15"/>
        <v>q14410_2</v>
      </c>
      <c r="O85" s="306" t="str">
        <f t="shared" si="16"/>
        <v>14410_2. ملابس</v>
      </c>
      <c r="P85" s="257" t="str">
        <f t="shared" si="17"/>
        <v>14410_2. Clothing</v>
      </c>
      <c r="Q85" s="28"/>
      <c r="R85" s="28"/>
      <c r="S85" s="427" t="str">
        <f t="shared" si="18"/>
        <v xml:space="preserve">data('valid_overall') ==1 </v>
      </c>
      <c r="T85" s="262"/>
      <c r="U85" s="262"/>
      <c r="V85" s="262"/>
      <c r="W85" s="262"/>
      <c r="X85" s="262"/>
      <c r="Y85" s="1" t="b">
        <v>1</v>
      </c>
    </row>
    <row r="86" spans="1:31" s="265" customFormat="1" ht="57.75">
      <c r="A86" s="48" t="str">
        <f t="shared" si="13"/>
        <v>q14410_3</v>
      </c>
      <c r="B86" s="280" t="s">
        <v>935</v>
      </c>
      <c r="C86" s="280"/>
      <c r="D86" s="127" t="str">
        <f>CONCATENATE(INDEX(choices!D:D,MATCH(M86,choices!A:A,0)),"
",IF(M86=INDEX(choices!A:A,MATCH(M86,choices!A:A,0)+1),INDEX(choices!D:D,MATCH(M86,choices!A:A,0)+1),""),IF(M86=INDEX(choices!A:A,MATCH(M86,choices!A:A,0)+1), "
",""),IF(M86=INDEX(choices!A:A,MATCH(M86,choices!A:A,0)+2),INDEX(choices!D:D,MATCH(M86,choices!A:A,0)+2),""),IF(M86=INDEX(choices!A:A,MATCH(M86,choices!A:A,0)+2), "
",""),IF(M86=INDEX(choices!A:A,MATCH(M86,choices!A:A,0)+3),INDEX(choices!D:D,MATCH(M86,choices!A:A,0)+3),""),IF(M86=INDEX(choices!A:A,MATCH(M86,choices!A:A,0)+3), "
",""),IF(M86=INDEX(choices!A:A,MATCH(M86,choices!A:A,0)+4),INDEX(choices!D:D,MATCH(M86,choices!A:A,0)+4),""),IF(M86=INDEX(choices!A:A,MATCH(M86,choices!A:A,0)+4), "
",""),IF(M86=INDEX(choices!A:A,MATCH(M86,choices!A:A,0)+5),INDEX(choices!D:D,MATCH(M86,choices!A:A,0)+5),""),IF(M86=INDEX(choices!A:A,MATCH(M86,choices!A:A,0)+5), "
",""),IF(M86=INDEX(choices!A:A,MATCH(M86,choices!A:A,0)+6),INDEX(choices!D:D,MATCH(M86,choices!A:A,0)+6),""),IF(M86=INDEX(choices!A:A,MATCH(M86,choices!A:A,0)+6), "
",""),IF(M86=INDEX(choices!A:A,MATCH(M86,choices!A:A,0)+7),INDEX(choices!D:D,MATCH(M86,choices!A:A,0)+7),""),IF(M86=INDEX(choices!A:A,MATCH(M86,choices!A:A,0)+7), "
",""),IF(M86=INDEX(choices!A:A,MATCH(M86,choices!A:A,0)+8),INDEX(choices!D:D,MATCH(M86,choices!A:A,0)+8),""),IF(M86=INDEX(choices!A:A,MATCH(M86,choices!A:A,0)+8), "
",""),IF(M86=INDEX(choices!A:A,MATCH(M86,choices!A:A,0)+9),INDEX(choices!D:D,MATCH(M86,choices!A:A,0)+9),""),IF(M86=INDEX(choices!A:A,MATCH(M86,choices!A:A,0)+9), "
",""),IF(M86=INDEX(choices!A:A,MATCH(M86,choices!A:A,0)+10),INDEX(choices!D:D,MATCH(M86,choices!A:A,0)+10),""),IF(M86=INDEX(choices!A:A,MATCH(M86,choices!A:A,0)+10), "
",""),IF(M86=INDEX(choices!A:A,MATCH(M86,choices!A:A,0)+11),INDEX(choices!D:D,MATCH(M86,choices!A:A,0)+11),""),IF(M86=INDEX(choices!A:A,MATCH(M86,choices!A:A,0)+11), "
",""),IF(M86=INDEX(choices!A:A,MATCH(M86,choices!A:A,0)+12),INDEX(choices!D:D,MATCH(M86,choices!A:A,0)+12),""),IF(M86=INDEX(choices!A:A,MATCH(M86,choices!A:A,0)+12), "
",""),IF(M86=INDEX(choices!A:A,MATCH(M86,choices!A:A,0)+13),INDEX(choices!D:D,MATCH(M86,choices!A:A,0)+13),""),IF(M86=INDEX(choices!A:A,MATCH(M86,choices!A:A,0)+13), "
",""),IF(M86=INDEX(choices!A:A,MATCH(M86,choices!A:A,0)+14),INDEX(choices!D:D,MATCH(M86,choices!A:A,0)+14),""),IF(M86=INDEX(choices!A:A,MATCH(M86,choices!A:A,0)+14), "
",""),IF(M86=INDEX(choices!A:A,MATCH(M86,choices!A:A,0)+15),INDEX(choices!D:D,MATCH(M86,choices!A:A,0)+15),""),IF(M86=INDEX(choices!A:A,MATCH(M86,choices!A:A,0)+15), "
",""),IF(M86=INDEX(choices!A:A,MATCH(M86,choices!A:A,0)+16),INDEX(choices!D:D,MATCH(M86,choices!A:A,0)+16),""),IF(M86=INDEX(choices!A:A,MATCH(M86,choices!A:A,0)+16), "
",""),IF(M86=INDEX(choices!A:A,MATCH(M86,choices!A:A,0)+17),INDEX(choices!D:D,MATCH(M86,choices!A:A,0)+17),""),IF(M86=INDEX(choices!A:A,MATCH(M86,choices!A:A,0)+17), "
",""),IF(M86=INDEX(choices!A:A,MATCH(M86,choices!A:A,0)+18),INDEX(choices!D:D,MATCH(M86,choices!A:A,0)+18),""),IF(M86=INDEX(choices!A:A,MATCH(M86,choices!A:A,0)+18), "
",""),IF(M86=INDEX(choices!A:A,MATCH(M86,choices!A:A,0)+19),INDEX(choices!D:D,MATCH(M86,choices!A:A,0)+19),""),IF(M86=INDEX(choices!A:A,MATCH(M86,choices!A:A,0)+19), "
",""),IF(M86=INDEX(choices!A:A,MATCH(M86,choices!A:A,0)+20),INDEX(choices!D:D,MATCH(M86,choices!A:A,0)+20),""),IF(M86=INDEX(choices!A:A,MATCH(M86,choices!A:A,0)+20), "
",""))</f>
        <v xml:space="preserve">1. Yes
2. No
</v>
      </c>
      <c r="E86" s="366" t="s">
        <v>1236</v>
      </c>
      <c r="F86" s="280"/>
      <c r="G86" s="67" t="str">
        <f>CONCATENATE(INDEX(choices!C:C,MATCH(M86,choices!A:A,0)),"
",IF(M86=INDEX(choices!A:A,MATCH(M86,choices!A:A,0)+1),INDEX(choices!C:C,MATCH(M86,choices!A:A,0)+1),""),IF(M86=INDEX(choices!A:A,MATCH(M86,choices!A:A,0)+1), "
",""),IF(M86=INDEX(choices!A:A,MATCH(M86,choices!A:A,0)+2),INDEX(choices!C:C,MATCH(M86,choices!A:A,0)+2),""),IF(M86=INDEX(choices!A:A,MATCH(M86,choices!A:A,0)+2), "
",""),IF(M86=INDEX(choices!A:A,MATCH(M86,choices!A:A,0)+3),INDEX(choices!C:C,MATCH(M86,choices!A:A,0)+3),""),IF(M86=INDEX(choices!A:A,MATCH(M86,choices!A:A,0)+3), "
",""),IF(M86=INDEX(choices!A:A,MATCH(M86,choices!A:A,0)+4),INDEX(choices!C:C,MATCH(M86,choices!A:A,0)+4),""),IF(M86=INDEX(choices!A:A,MATCH(M86,choices!A:A,0)+4), "
",""),IF(M86=INDEX(choices!A:A,MATCH(M86,choices!A:A,0)+5),INDEX(choices!C:C,MATCH(M86,choices!A:A,0)+5),""),IF(M86=INDEX(choices!A:A,MATCH(M86,choices!A:A,0)+5), "
",""),IF(M86=INDEX(choices!A:A,MATCH(M86,choices!A:A,0)+6),INDEX(choices!C:C,MATCH(M86,choices!A:A,0)+6),""),IF(M86=INDEX(choices!A:A,MATCH(M86,choices!A:A,0)+6), "
",""),IF(M86=INDEX(choices!A:A,MATCH(M86,choices!A:A,0)+7),INDEX(choices!C:C,MATCH(M86,choices!A:A,0)+7),""),IF(M86=INDEX(choices!A:A,MATCH(M86,choices!A:A,0)+7), "
",""),IF(M86=INDEX(choices!A:A,MATCH(M86,choices!A:A,0)+8),INDEX(choices!C:C,MATCH(M86,choices!A:A,0)+8),""),IF(M86=INDEX(choices!A:A,MATCH(M86,choices!A:A,0)+8), "
",""),IF(M86=INDEX(choices!A:A,MATCH(M86,choices!A:A,0)+9),INDEX(choices!C:C,MATCH(M86,choices!A:A,0)+9),""),IF(M86=INDEX(choices!A:A,MATCH(M86,choices!A:A,0)+9), "
",""),IF(M86=INDEX(choices!A:A,MATCH(M86,choices!A:A,0)+10),INDEX(choices!C:C,MATCH(M86,choices!A:A,0)+10),""),IF(M86=INDEX(choices!A:A,MATCH(M86,choices!A:A,0)+10), "
",""),IF(M86=INDEX(choices!A:A,MATCH(M86,choices!A:A,0)+11),INDEX(choices!C:C,MATCH(M86,choices!A:A,0)+11),""),IF(M86=INDEX(choices!A:A,MATCH(M86,choices!A:A,0)+11), "
",""),IF(M86=INDEX(choices!A:A,MATCH(M86,choices!A:A,0)+12),INDEX(choices!C:C,MATCH(M86,choices!A:A,0)+12),""),IF(M86=INDEX(choices!A:A,MATCH(M86,choices!A:A,0)+12), "
",""),IF(M86=INDEX(choices!A:A,MATCH(M86,choices!A:A,0)+13),INDEX(choices!C:C,MATCH(M86,choices!A:A,0)+13),""),IF(M86=INDEX(choices!A:A,MATCH(M86,choices!A:A,0)+13), "
",""),IF(M86=INDEX(choices!A:A,MATCH(M86,choices!A:A,0)+14),INDEX(choices!C:C,MATCH(M86,choices!A:A,0)+14),""),IF(M86=INDEX(choices!A:A,MATCH(M86,choices!A:A,0)+14), "
",""),IF(M86=INDEX(choices!A:A,MATCH(M86,choices!A:A,0)+15),INDEX(choices!C:C,MATCH(M86,choices!A:A,0)+15),""),IF(M86=INDEX(choices!A:A,MATCH(M86,choices!A:A,0)+15), "
",""),IF(M86=INDEX(choices!A:A,MATCH(M86,choices!A:A,0)+16),INDEX(choices!C:C,MATCH(M86,choices!A:A,0)+16),""),IF(M86=INDEX(choices!A:A,MATCH(M86,choices!A:A,0)+16), "
",""),IF(M86=INDEX(choices!A:A,MATCH(M86,choices!A:A,0)+17),INDEX(choices!C:C,MATCH(M86,choices!A:A,0)+17),""),IF(M86=INDEX(choices!A:A,MATCH(M86,choices!A:A,0)+17), "
",""),IF(M86=INDEX(choices!A:A,MATCH(M86,choices!A:A,0)+18),INDEX(choices!C:C,MATCH(M86,choices!A:A,0)+18),""),IF(M86=INDEX(choices!A:A,MATCH(M86,choices!A:A,0)+18), "
",""),IF(M86=INDEX(choices!A:A,MATCH(M86,choices!A:A,0)+19),INDEX(choices!C:C,MATCH(M86,choices!A:A,0)+19),""),IF(M86=INDEX(choices!A:A,MATCH(M86,choices!A:A,0)+19), "
",""),IF(M86=INDEX(choices!A:A,MATCH(M86,choices!A:A,0)+20),INDEX(choices!C:C,MATCH(M86,choices!A:A,0)+20),""),IF(M86=INDEX(choices!A:A,MATCH(M86,choices!A:A,0)+20), "
","")," ")</f>
        <v xml:space="preserve">1. نعم
2. لا
 </v>
      </c>
      <c r="H86" s="266">
        <f t="shared" si="19"/>
        <v>3</v>
      </c>
      <c r="I86" s="274" t="str">
        <f t="shared" si="14"/>
        <v>14410_3</v>
      </c>
      <c r="J86" s="267"/>
      <c r="K86" s="267"/>
      <c r="L86" s="267" t="s">
        <v>170</v>
      </c>
      <c r="M86" s="277" t="s">
        <v>17</v>
      </c>
      <c r="N86" s="64" t="str">
        <f t="shared" si="15"/>
        <v>q14410_3</v>
      </c>
      <c r="O86" s="306" t="str">
        <f t="shared" si="16"/>
        <v>14410_3. غذاء (بما في ذلك أثناء الاحتفالات الدينية)</v>
      </c>
      <c r="P86" s="257" t="str">
        <f t="shared" si="17"/>
        <v>14410_3. Food (including during religious celebrations)</v>
      </c>
      <c r="Q86" s="28"/>
      <c r="R86" s="28"/>
      <c r="S86" s="427" t="str">
        <f t="shared" si="18"/>
        <v xml:space="preserve">data('valid_overall') ==1 </v>
      </c>
      <c r="T86" s="262"/>
      <c r="U86" s="262"/>
      <c r="V86" s="262"/>
      <c r="W86" s="262"/>
      <c r="X86" s="262"/>
      <c r="Y86" s="71" t="b">
        <v>1</v>
      </c>
    </row>
    <row r="87" spans="1:31" s="265" customFormat="1" ht="45">
      <c r="A87" s="48" t="str">
        <f t="shared" si="13"/>
        <v>q14410_4</v>
      </c>
      <c r="B87" s="280" t="s">
        <v>936</v>
      </c>
      <c r="C87" s="280"/>
      <c r="D87" s="127" t="str">
        <f>CONCATENATE(INDEX(choices!D:D,MATCH(M87,choices!A:A,0)),"
",IF(M87=INDEX(choices!A:A,MATCH(M87,choices!A:A,0)+1),INDEX(choices!D:D,MATCH(M87,choices!A:A,0)+1),""),IF(M87=INDEX(choices!A:A,MATCH(M87,choices!A:A,0)+1), "
",""),IF(M87=INDEX(choices!A:A,MATCH(M87,choices!A:A,0)+2),INDEX(choices!D:D,MATCH(M87,choices!A:A,0)+2),""),IF(M87=INDEX(choices!A:A,MATCH(M87,choices!A:A,0)+2), "
",""),IF(M87=INDEX(choices!A:A,MATCH(M87,choices!A:A,0)+3),INDEX(choices!D:D,MATCH(M87,choices!A:A,0)+3),""),IF(M87=INDEX(choices!A:A,MATCH(M87,choices!A:A,0)+3), "
",""),IF(M87=INDEX(choices!A:A,MATCH(M87,choices!A:A,0)+4),INDEX(choices!D:D,MATCH(M87,choices!A:A,0)+4),""),IF(M87=INDEX(choices!A:A,MATCH(M87,choices!A:A,0)+4), "
",""),IF(M87=INDEX(choices!A:A,MATCH(M87,choices!A:A,0)+5),INDEX(choices!D:D,MATCH(M87,choices!A:A,0)+5),""),IF(M87=INDEX(choices!A:A,MATCH(M87,choices!A:A,0)+5), "
",""),IF(M87=INDEX(choices!A:A,MATCH(M87,choices!A:A,0)+6),INDEX(choices!D:D,MATCH(M87,choices!A:A,0)+6),""),IF(M87=INDEX(choices!A:A,MATCH(M87,choices!A:A,0)+6), "
",""),IF(M87=INDEX(choices!A:A,MATCH(M87,choices!A:A,0)+7),INDEX(choices!D:D,MATCH(M87,choices!A:A,0)+7),""),IF(M87=INDEX(choices!A:A,MATCH(M87,choices!A:A,0)+7), "
",""),IF(M87=INDEX(choices!A:A,MATCH(M87,choices!A:A,0)+8),INDEX(choices!D:D,MATCH(M87,choices!A:A,0)+8),""),IF(M87=INDEX(choices!A:A,MATCH(M87,choices!A:A,0)+8), "
",""),IF(M87=INDEX(choices!A:A,MATCH(M87,choices!A:A,0)+9),INDEX(choices!D:D,MATCH(M87,choices!A:A,0)+9),""),IF(M87=INDEX(choices!A:A,MATCH(M87,choices!A:A,0)+9), "
",""),IF(M87=INDEX(choices!A:A,MATCH(M87,choices!A:A,0)+10),INDEX(choices!D:D,MATCH(M87,choices!A:A,0)+10),""),IF(M87=INDEX(choices!A:A,MATCH(M87,choices!A:A,0)+10), "
",""),IF(M87=INDEX(choices!A:A,MATCH(M87,choices!A:A,0)+11),INDEX(choices!D:D,MATCH(M87,choices!A:A,0)+11),""),IF(M87=INDEX(choices!A:A,MATCH(M87,choices!A:A,0)+11), "
",""),IF(M87=INDEX(choices!A:A,MATCH(M87,choices!A:A,0)+12),INDEX(choices!D:D,MATCH(M87,choices!A:A,0)+12),""),IF(M87=INDEX(choices!A:A,MATCH(M87,choices!A:A,0)+12), "
",""),IF(M87=INDEX(choices!A:A,MATCH(M87,choices!A:A,0)+13),INDEX(choices!D:D,MATCH(M87,choices!A:A,0)+13),""),IF(M87=INDEX(choices!A:A,MATCH(M87,choices!A:A,0)+13), "
",""),IF(M87=INDEX(choices!A:A,MATCH(M87,choices!A:A,0)+14),INDEX(choices!D:D,MATCH(M87,choices!A:A,0)+14),""),IF(M87=INDEX(choices!A:A,MATCH(M87,choices!A:A,0)+14), "
",""),IF(M87=INDEX(choices!A:A,MATCH(M87,choices!A:A,0)+15),INDEX(choices!D:D,MATCH(M87,choices!A:A,0)+15),""),IF(M87=INDEX(choices!A:A,MATCH(M87,choices!A:A,0)+15), "
",""),IF(M87=INDEX(choices!A:A,MATCH(M87,choices!A:A,0)+16),INDEX(choices!D:D,MATCH(M87,choices!A:A,0)+16),""),IF(M87=INDEX(choices!A:A,MATCH(M87,choices!A:A,0)+16), "
",""),IF(M87=INDEX(choices!A:A,MATCH(M87,choices!A:A,0)+17),INDEX(choices!D:D,MATCH(M87,choices!A:A,0)+17),""),IF(M87=INDEX(choices!A:A,MATCH(M87,choices!A:A,0)+17), "
",""),IF(M87=INDEX(choices!A:A,MATCH(M87,choices!A:A,0)+18),INDEX(choices!D:D,MATCH(M87,choices!A:A,0)+18),""),IF(M87=INDEX(choices!A:A,MATCH(M87,choices!A:A,0)+18), "
",""),IF(M87=INDEX(choices!A:A,MATCH(M87,choices!A:A,0)+19),INDEX(choices!D:D,MATCH(M87,choices!A:A,0)+19),""),IF(M87=INDEX(choices!A:A,MATCH(M87,choices!A:A,0)+19), "
",""),IF(M87=INDEX(choices!A:A,MATCH(M87,choices!A:A,0)+20),INDEX(choices!D:D,MATCH(M87,choices!A:A,0)+20),""),IF(M87=INDEX(choices!A:A,MATCH(M87,choices!A:A,0)+20), "
",""))</f>
        <v xml:space="preserve">1. Yes
2. No
</v>
      </c>
      <c r="E87" s="366" t="s">
        <v>1237</v>
      </c>
      <c r="F87" s="280"/>
      <c r="G87" s="67" t="str">
        <f>CONCATENATE(INDEX(choices!C:C,MATCH(M87,choices!A:A,0)),"
",IF(M87=INDEX(choices!A:A,MATCH(M87,choices!A:A,0)+1),INDEX(choices!C:C,MATCH(M87,choices!A:A,0)+1),""),IF(M87=INDEX(choices!A:A,MATCH(M87,choices!A:A,0)+1), "
",""),IF(M87=INDEX(choices!A:A,MATCH(M87,choices!A:A,0)+2),INDEX(choices!C:C,MATCH(M87,choices!A:A,0)+2),""),IF(M87=INDEX(choices!A:A,MATCH(M87,choices!A:A,0)+2), "
",""),IF(M87=INDEX(choices!A:A,MATCH(M87,choices!A:A,0)+3),INDEX(choices!C:C,MATCH(M87,choices!A:A,0)+3),""),IF(M87=INDEX(choices!A:A,MATCH(M87,choices!A:A,0)+3), "
",""),IF(M87=INDEX(choices!A:A,MATCH(M87,choices!A:A,0)+4),INDEX(choices!C:C,MATCH(M87,choices!A:A,0)+4),""),IF(M87=INDEX(choices!A:A,MATCH(M87,choices!A:A,0)+4), "
",""),IF(M87=INDEX(choices!A:A,MATCH(M87,choices!A:A,0)+5),INDEX(choices!C:C,MATCH(M87,choices!A:A,0)+5),""),IF(M87=INDEX(choices!A:A,MATCH(M87,choices!A:A,0)+5), "
",""),IF(M87=INDEX(choices!A:A,MATCH(M87,choices!A:A,0)+6),INDEX(choices!C:C,MATCH(M87,choices!A:A,0)+6),""),IF(M87=INDEX(choices!A:A,MATCH(M87,choices!A:A,0)+6), "
",""),IF(M87=INDEX(choices!A:A,MATCH(M87,choices!A:A,0)+7),INDEX(choices!C:C,MATCH(M87,choices!A:A,0)+7),""),IF(M87=INDEX(choices!A:A,MATCH(M87,choices!A:A,0)+7), "
",""),IF(M87=INDEX(choices!A:A,MATCH(M87,choices!A:A,0)+8),INDEX(choices!C:C,MATCH(M87,choices!A:A,0)+8),""),IF(M87=INDEX(choices!A:A,MATCH(M87,choices!A:A,0)+8), "
",""),IF(M87=INDEX(choices!A:A,MATCH(M87,choices!A:A,0)+9),INDEX(choices!C:C,MATCH(M87,choices!A:A,0)+9),""),IF(M87=INDEX(choices!A:A,MATCH(M87,choices!A:A,0)+9), "
",""),IF(M87=INDEX(choices!A:A,MATCH(M87,choices!A:A,0)+10),INDEX(choices!C:C,MATCH(M87,choices!A:A,0)+10),""),IF(M87=INDEX(choices!A:A,MATCH(M87,choices!A:A,0)+10), "
",""),IF(M87=INDEX(choices!A:A,MATCH(M87,choices!A:A,0)+11),INDEX(choices!C:C,MATCH(M87,choices!A:A,0)+11),""),IF(M87=INDEX(choices!A:A,MATCH(M87,choices!A:A,0)+11), "
",""),IF(M87=INDEX(choices!A:A,MATCH(M87,choices!A:A,0)+12),INDEX(choices!C:C,MATCH(M87,choices!A:A,0)+12),""),IF(M87=INDEX(choices!A:A,MATCH(M87,choices!A:A,0)+12), "
",""),IF(M87=INDEX(choices!A:A,MATCH(M87,choices!A:A,0)+13),INDEX(choices!C:C,MATCH(M87,choices!A:A,0)+13),""),IF(M87=INDEX(choices!A:A,MATCH(M87,choices!A:A,0)+13), "
",""),IF(M87=INDEX(choices!A:A,MATCH(M87,choices!A:A,0)+14),INDEX(choices!C:C,MATCH(M87,choices!A:A,0)+14),""),IF(M87=INDEX(choices!A:A,MATCH(M87,choices!A:A,0)+14), "
",""),IF(M87=INDEX(choices!A:A,MATCH(M87,choices!A:A,0)+15),INDEX(choices!C:C,MATCH(M87,choices!A:A,0)+15),""),IF(M87=INDEX(choices!A:A,MATCH(M87,choices!A:A,0)+15), "
",""),IF(M87=INDEX(choices!A:A,MATCH(M87,choices!A:A,0)+16),INDEX(choices!C:C,MATCH(M87,choices!A:A,0)+16),""),IF(M87=INDEX(choices!A:A,MATCH(M87,choices!A:A,0)+16), "
",""),IF(M87=INDEX(choices!A:A,MATCH(M87,choices!A:A,0)+17),INDEX(choices!C:C,MATCH(M87,choices!A:A,0)+17),""),IF(M87=INDEX(choices!A:A,MATCH(M87,choices!A:A,0)+17), "
",""),IF(M87=INDEX(choices!A:A,MATCH(M87,choices!A:A,0)+18),INDEX(choices!C:C,MATCH(M87,choices!A:A,0)+18),""),IF(M87=INDEX(choices!A:A,MATCH(M87,choices!A:A,0)+18), "
",""),IF(M87=INDEX(choices!A:A,MATCH(M87,choices!A:A,0)+19),INDEX(choices!C:C,MATCH(M87,choices!A:A,0)+19),""),IF(M87=INDEX(choices!A:A,MATCH(M87,choices!A:A,0)+19), "
",""),IF(M87=INDEX(choices!A:A,MATCH(M87,choices!A:A,0)+20),INDEX(choices!C:C,MATCH(M87,choices!A:A,0)+20),""),IF(M87=INDEX(choices!A:A,MATCH(M87,choices!A:A,0)+20), "
","")," ")</f>
        <v xml:space="preserve">1. نعم
2. لا
 </v>
      </c>
      <c r="H87" s="266">
        <f t="shared" si="19"/>
        <v>4</v>
      </c>
      <c r="I87" s="274" t="str">
        <f t="shared" si="14"/>
        <v>14410_4</v>
      </c>
      <c r="J87" s="267"/>
      <c r="K87" s="267"/>
      <c r="L87" s="267" t="s">
        <v>170</v>
      </c>
      <c r="M87" s="277" t="s">
        <v>17</v>
      </c>
      <c r="N87" s="64" t="str">
        <f t="shared" si="15"/>
        <v>q14410_4</v>
      </c>
      <c r="O87" s="306" t="str">
        <f t="shared" si="16"/>
        <v>14410_4. العمل فى الزراعة</v>
      </c>
      <c r="P87" s="257" t="str">
        <f t="shared" si="17"/>
        <v>14410_4. Labor for farming</v>
      </c>
      <c r="Q87" s="28"/>
      <c r="R87" s="28"/>
      <c r="S87" s="427" t="str">
        <f t="shared" si="18"/>
        <v xml:space="preserve">data('valid_overall') ==1 </v>
      </c>
      <c r="T87" s="262"/>
      <c r="U87" s="262"/>
      <c r="V87" s="262"/>
      <c r="W87" s="262"/>
      <c r="X87" s="262"/>
      <c r="Y87" s="71" t="b">
        <v>1</v>
      </c>
    </row>
    <row r="88" spans="1:31" s="265" customFormat="1" ht="45">
      <c r="A88" s="48" t="str">
        <f t="shared" si="13"/>
        <v>q14410_5</v>
      </c>
      <c r="B88" s="280" t="s">
        <v>937</v>
      </c>
      <c r="C88" s="280"/>
      <c r="D88" s="127" t="str">
        <f>CONCATENATE(INDEX(choices!D:D,MATCH(M88,choices!A:A,0)),"
",IF(M88=INDEX(choices!A:A,MATCH(M88,choices!A:A,0)+1),INDEX(choices!D:D,MATCH(M88,choices!A:A,0)+1),""),IF(M88=INDEX(choices!A:A,MATCH(M88,choices!A:A,0)+1), "
",""),IF(M88=INDEX(choices!A:A,MATCH(M88,choices!A:A,0)+2),INDEX(choices!D:D,MATCH(M88,choices!A:A,0)+2),""),IF(M88=INDEX(choices!A:A,MATCH(M88,choices!A:A,0)+2), "
",""),IF(M88=INDEX(choices!A:A,MATCH(M88,choices!A:A,0)+3),INDEX(choices!D:D,MATCH(M88,choices!A:A,0)+3),""),IF(M88=INDEX(choices!A:A,MATCH(M88,choices!A:A,0)+3), "
",""),IF(M88=INDEX(choices!A:A,MATCH(M88,choices!A:A,0)+4),INDEX(choices!D:D,MATCH(M88,choices!A:A,0)+4),""),IF(M88=INDEX(choices!A:A,MATCH(M88,choices!A:A,0)+4), "
",""),IF(M88=INDEX(choices!A:A,MATCH(M88,choices!A:A,0)+5),INDEX(choices!D:D,MATCH(M88,choices!A:A,0)+5),""),IF(M88=INDEX(choices!A:A,MATCH(M88,choices!A:A,0)+5), "
",""),IF(M88=INDEX(choices!A:A,MATCH(M88,choices!A:A,0)+6),INDEX(choices!D:D,MATCH(M88,choices!A:A,0)+6),""),IF(M88=INDEX(choices!A:A,MATCH(M88,choices!A:A,0)+6), "
",""),IF(M88=INDEX(choices!A:A,MATCH(M88,choices!A:A,0)+7),INDEX(choices!D:D,MATCH(M88,choices!A:A,0)+7),""),IF(M88=INDEX(choices!A:A,MATCH(M88,choices!A:A,0)+7), "
",""),IF(M88=INDEX(choices!A:A,MATCH(M88,choices!A:A,0)+8),INDEX(choices!D:D,MATCH(M88,choices!A:A,0)+8),""),IF(M88=INDEX(choices!A:A,MATCH(M88,choices!A:A,0)+8), "
",""),IF(M88=INDEX(choices!A:A,MATCH(M88,choices!A:A,0)+9),INDEX(choices!D:D,MATCH(M88,choices!A:A,0)+9),""),IF(M88=INDEX(choices!A:A,MATCH(M88,choices!A:A,0)+9), "
",""),IF(M88=INDEX(choices!A:A,MATCH(M88,choices!A:A,0)+10),INDEX(choices!D:D,MATCH(M88,choices!A:A,0)+10),""),IF(M88=INDEX(choices!A:A,MATCH(M88,choices!A:A,0)+10), "
",""),IF(M88=INDEX(choices!A:A,MATCH(M88,choices!A:A,0)+11),INDEX(choices!D:D,MATCH(M88,choices!A:A,0)+11),""),IF(M88=INDEX(choices!A:A,MATCH(M88,choices!A:A,0)+11), "
",""),IF(M88=INDEX(choices!A:A,MATCH(M88,choices!A:A,0)+12),INDEX(choices!D:D,MATCH(M88,choices!A:A,0)+12),""),IF(M88=INDEX(choices!A:A,MATCH(M88,choices!A:A,0)+12), "
",""),IF(M88=INDEX(choices!A:A,MATCH(M88,choices!A:A,0)+13),INDEX(choices!D:D,MATCH(M88,choices!A:A,0)+13),""),IF(M88=INDEX(choices!A:A,MATCH(M88,choices!A:A,0)+13), "
",""),IF(M88=INDEX(choices!A:A,MATCH(M88,choices!A:A,0)+14),INDEX(choices!D:D,MATCH(M88,choices!A:A,0)+14),""),IF(M88=INDEX(choices!A:A,MATCH(M88,choices!A:A,0)+14), "
",""),IF(M88=INDEX(choices!A:A,MATCH(M88,choices!A:A,0)+15),INDEX(choices!D:D,MATCH(M88,choices!A:A,0)+15),""),IF(M88=INDEX(choices!A:A,MATCH(M88,choices!A:A,0)+15), "
",""),IF(M88=INDEX(choices!A:A,MATCH(M88,choices!A:A,0)+16),INDEX(choices!D:D,MATCH(M88,choices!A:A,0)+16),""),IF(M88=INDEX(choices!A:A,MATCH(M88,choices!A:A,0)+16), "
",""),IF(M88=INDEX(choices!A:A,MATCH(M88,choices!A:A,0)+17),INDEX(choices!D:D,MATCH(M88,choices!A:A,0)+17),""),IF(M88=INDEX(choices!A:A,MATCH(M88,choices!A:A,0)+17), "
",""),IF(M88=INDEX(choices!A:A,MATCH(M88,choices!A:A,0)+18),INDEX(choices!D:D,MATCH(M88,choices!A:A,0)+18),""),IF(M88=INDEX(choices!A:A,MATCH(M88,choices!A:A,0)+18), "
",""),IF(M88=INDEX(choices!A:A,MATCH(M88,choices!A:A,0)+19),INDEX(choices!D:D,MATCH(M88,choices!A:A,0)+19),""),IF(M88=INDEX(choices!A:A,MATCH(M88,choices!A:A,0)+19), "
",""),IF(M88=INDEX(choices!A:A,MATCH(M88,choices!A:A,0)+20),INDEX(choices!D:D,MATCH(M88,choices!A:A,0)+20),""),IF(M88=INDEX(choices!A:A,MATCH(M88,choices!A:A,0)+20), "
",""))</f>
        <v xml:space="preserve">1. Yes
2. No
</v>
      </c>
      <c r="E88" s="366" t="s">
        <v>1238</v>
      </c>
      <c r="F88" s="280"/>
      <c r="G88" s="67" t="str">
        <f>CONCATENATE(INDEX(choices!C:C,MATCH(M88,choices!A:A,0)),"
",IF(M88=INDEX(choices!A:A,MATCH(M88,choices!A:A,0)+1),INDEX(choices!C:C,MATCH(M88,choices!A:A,0)+1),""),IF(M88=INDEX(choices!A:A,MATCH(M88,choices!A:A,0)+1), "
",""),IF(M88=INDEX(choices!A:A,MATCH(M88,choices!A:A,0)+2),INDEX(choices!C:C,MATCH(M88,choices!A:A,0)+2),""),IF(M88=INDEX(choices!A:A,MATCH(M88,choices!A:A,0)+2), "
",""),IF(M88=INDEX(choices!A:A,MATCH(M88,choices!A:A,0)+3),INDEX(choices!C:C,MATCH(M88,choices!A:A,0)+3),""),IF(M88=INDEX(choices!A:A,MATCH(M88,choices!A:A,0)+3), "
",""),IF(M88=INDEX(choices!A:A,MATCH(M88,choices!A:A,0)+4),INDEX(choices!C:C,MATCH(M88,choices!A:A,0)+4),""),IF(M88=INDEX(choices!A:A,MATCH(M88,choices!A:A,0)+4), "
",""),IF(M88=INDEX(choices!A:A,MATCH(M88,choices!A:A,0)+5),INDEX(choices!C:C,MATCH(M88,choices!A:A,0)+5),""),IF(M88=INDEX(choices!A:A,MATCH(M88,choices!A:A,0)+5), "
",""),IF(M88=INDEX(choices!A:A,MATCH(M88,choices!A:A,0)+6),INDEX(choices!C:C,MATCH(M88,choices!A:A,0)+6),""),IF(M88=INDEX(choices!A:A,MATCH(M88,choices!A:A,0)+6), "
",""),IF(M88=INDEX(choices!A:A,MATCH(M88,choices!A:A,0)+7),INDEX(choices!C:C,MATCH(M88,choices!A:A,0)+7),""),IF(M88=INDEX(choices!A:A,MATCH(M88,choices!A:A,0)+7), "
",""),IF(M88=INDEX(choices!A:A,MATCH(M88,choices!A:A,0)+8),INDEX(choices!C:C,MATCH(M88,choices!A:A,0)+8),""),IF(M88=INDEX(choices!A:A,MATCH(M88,choices!A:A,0)+8), "
",""),IF(M88=INDEX(choices!A:A,MATCH(M88,choices!A:A,0)+9),INDEX(choices!C:C,MATCH(M88,choices!A:A,0)+9),""),IF(M88=INDEX(choices!A:A,MATCH(M88,choices!A:A,0)+9), "
",""),IF(M88=INDEX(choices!A:A,MATCH(M88,choices!A:A,0)+10),INDEX(choices!C:C,MATCH(M88,choices!A:A,0)+10),""),IF(M88=INDEX(choices!A:A,MATCH(M88,choices!A:A,0)+10), "
",""),IF(M88=INDEX(choices!A:A,MATCH(M88,choices!A:A,0)+11),INDEX(choices!C:C,MATCH(M88,choices!A:A,0)+11),""),IF(M88=INDEX(choices!A:A,MATCH(M88,choices!A:A,0)+11), "
",""),IF(M88=INDEX(choices!A:A,MATCH(M88,choices!A:A,0)+12),INDEX(choices!C:C,MATCH(M88,choices!A:A,0)+12),""),IF(M88=INDEX(choices!A:A,MATCH(M88,choices!A:A,0)+12), "
",""),IF(M88=INDEX(choices!A:A,MATCH(M88,choices!A:A,0)+13),INDEX(choices!C:C,MATCH(M88,choices!A:A,0)+13),""),IF(M88=INDEX(choices!A:A,MATCH(M88,choices!A:A,0)+13), "
",""),IF(M88=INDEX(choices!A:A,MATCH(M88,choices!A:A,0)+14),INDEX(choices!C:C,MATCH(M88,choices!A:A,0)+14),""),IF(M88=INDEX(choices!A:A,MATCH(M88,choices!A:A,0)+14), "
",""),IF(M88=INDEX(choices!A:A,MATCH(M88,choices!A:A,0)+15),INDEX(choices!C:C,MATCH(M88,choices!A:A,0)+15),""),IF(M88=INDEX(choices!A:A,MATCH(M88,choices!A:A,0)+15), "
",""),IF(M88=INDEX(choices!A:A,MATCH(M88,choices!A:A,0)+16),INDEX(choices!C:C,MATCH(M88,choices!A:A,0)+16),""),IF(M88=INDEX(choices!A:A,MATCH(M88,choices!A:A,0)+16), "
",""),IF(M88=INDEX(choices!A:A,MATCH(M88,choices!A:A,0)+17),INDEX(choices!C:C,MATCH(M88,choices!A:A,0)+17),""),IF(M88=INDEX(choices!A:A,MATCH(M88,choices!A:A,0)+17), "
",""),IF(M88=INDEX(choices!A:A,MATCH(M88,choices!A:A,0)+18),INDEX(choices!C:C,MATCH(M88,choices!A:A,0)+18),""),IF(M88=INDEX(choices!A:A,MATCH(M88,choices!A:A,0)+18), "
",""),IF(M88=INDEX(choices!A:A,MATCH(M88,choices!A:A,0)+19),INDEX(choices!C:C,MATCH(M88,choices!A:A,0)+19),""),IF(M88=INDEX(choices!A:A,MATCH(M88,choices!A:A,0)+19), "
",""),IF(M88=INDEX(choices!A:A,MATCH(M88,choices!A:A,0)+20),INDEX(choices!C:C,MATCH(M88,choices!A:A,0)+20),""),IF(M88=INDEX(choices!A:A,MATCH(M88,choices!A:A,0)+20), "
","")," ")</f>
        <v xml:space="preserve">1. نعم
2. لا
 </v>
      </c>
      <c r="H88" s="266">
        <f t="shared" si="19"/>
        <v>5</v>
      </c>
      <c r="I88" s="274" t="str">
        <f t="shared" si="14"/>
        <v>14410_5</v>
      </c>
      <c r="J88" s="267"/>
      <c r="K88" s="267"/>
      <c r="L88" s="267" t="s">
        <v>170</v>
      </c>
      <c r="M88" s="277" t="s">
        <v>17</v>
      </c>
      <c r="N88" s="64" t="str">
        <f t="shared" si="15"/>
        <v>q14410_5</v>
      </c>
      <c r="O88" s="306" t="str">
        <f t="shared" si="16"/>
        <v>14410_5. رسوم مدرسية</v>
      </c>
      <c r="P88" s="257" t="str">
        <f t="shared" si="17"/>
        <v>14410_5. School fees</v>
      </c>
      <c r="Q88" s="28"/>
      <c r="R88" s="28"/>
      <c r="S88" s="427" t="str">
        <f t="shared" si="18"/>
        <v xml:space="preserve">data('valid_overall') ==1 </v>
      </c>
      <c r="T88" s="262"/>
      <c r="U88" s="262"/>
      <c r="V88" s="262"/>
      <c r="W88" s="262"/>
      <c r="X88" s="262"/>
      <c r="Y88" s="71" t="b">
        <v>1</v>
      </c>
    </row>
    <row r="89" spans="1:31" s="265" customFormat="1" ht="45">
      <c r="A89" s="48" t="str">
        <f t="shared" si="13"/>
        <v>q14410_6</v>
      </c>
      <c r="B89" s="280" t="s">
        <v>938</v>
      </c>
      <c r="C89" s="280"/>
      <c r="D89" s="127" t="str">
        <f>CONCATENATE(INDEX(choices!D:D,MATCH(M89,choices!A:A,0)),"
",IF(M89=INDEX(choices!A:A,MATCH(M89,choices!A:A,0)+1),INDEX(choices!D:D,MATCH(M89,choices!A:A,0)+1),""),IF(M89=INDEX(choices!A:A,MATCH(M89,choices!A:A,0)+1), "
",""),IF(M89=INDEX(choices!A:A,MATCH(M89,choices!A:A,0)+2),INDEX(choices!D:D,MATCH(M89,choices!A:A,0)+2),""),IF(M89=INDEX(choices!A:A,MATCH(M89,choices!A:A,0)+2), "
",""),IF(M89=INDEX(choices!A:A,MATCH(M89,choices!A:A,0)+3),INDEX(choices!D:D,MATCH(M89,choices!A:A,0)+3),""),IF(M89=INDEX(choices!A:A,MATCH(M89,choices!A:A,0)+3), "
",""),IF(M89=INDEX(choices!A:A,MATCH(M89,choices!A:A,0)+4),INDEX(choices!D:D,MATCH(M89,choices!A:A,0)+4),""),IF(M89=INDEX(choices!A:A,MATCH(M89,choices!A:A,0)+4), "
",""),IF(M89=INDEX(choices!A:A,MATCH(M89,choices!A:A,0)+5),INDEX(choices!D:D,MATCH(M89,choices!A:A,0)+5),""),IF(M89=INDEX(choices!A:A,MATCH(M89,choices!A:A,0)+5), "
",""),IF(M89=INDEX(choices!A:A,MATCH(M89,choices!A:A,0)+6),INDEX(choices!D:D,MATCH(M89,choices!A:A,0)+6),""),IF(M89=INDEX(choices!A:A,MATCH(M89,choices!A:A,0)+6), "
",""),IF(M89=INDEX(choices!A:A,MATCH(M89,choices!A:A,0)+7),INDEX(choices!D:D,MATCH(M89,choices!A:A,0)+7),""),IF(M89=INDEX(choices!A:A,MATCH(M89,choices!A:A,0)+7), "
",""),IF(M89=INDEX(choices!A:A,MATCH(M89,choices!A:A,0)+8),INDEX(choices!D:D,MATCH(M89,choices!A:A,0)+8),""),IF(M89=INDEX(choices!A:A,MATCH(M89,choices!A:A,0)+8), "
",""),IF(M89=INDEX(choices!A:A,MATCH(M89,choices!A:A,0)+9),INDEX(choices!D:D,MATCH(M89,choices!A:A,0)+9),""),IF(M89=INDEX(choices!A:A,MATCH(M89,choices!A:A,0)+9), "
",""),IF(M89=INDEX(choices!A:A,MATCH(M89,choices!A:A,0)+10),INDEX(choices!D:D,MATCH(M89,choices!A:A,0)+10),""),IF(M89=INDEX(choices!A:A,MATCH(M89,choices!A:A,0)+10), "
",""),IF(M89=INDEX(choices!A:A,MATCH(M89,choices!A:A,0)+11),INDEX(choices!D:D,MATCH(M89,choices!A:A,0)+11),""),IF(M89=INDEX(choices!A:A,MATCH(M89,choices!A:A,0)+11), "
",""),IF(M89=INDEX(choices!A:A,MATCH(M89,choices!A:A,0)+12),INDEX(choices!D:D,MATCH(M89,choices!A:A,0)+12),""),IF(M89=INDEX(choices!A:A,MATCH(M89,choices!A:A,0)+12), "
",""),IF(M89=INDEX(choices!A:A,MATCH(M89,choices!A:A,0)+13),INDEX(choices!D:D,MATCH(M89,choices!A:A,0)+13),""),IF(M89=INDEX(choices!A:A,MATCH(M89,choices!A:A,0)+13), "
",""),IF(M89=INDEX(choices!A:A,MATCH(M89,choices!A:A,0)+14),INDEX(choices!D:D,MATCH(M89,choices!A:A,0)+14),""),IF(M89=INDEX(choices!A:A,MATCH(M89,choices!A:A,0)+14), "
",""),IF(M89=INDEX(choices!A:A,MATCH(M89,choices!A:A,0)+15),INDEX(choices!D:D,MATCH(M89,choices!A:A,0)+15),""),IF(M89=INDEX(choices!A:A,MATCH(M89,choices!A:A,0)+15), "
",""),IF(M89=INDEX(choices!A:A,MATCH(M89,choices!A:A,0)+16),INDEX(choices!D:D,MATCH(M89,choices!A:A,0)+16),""),IF(M89=INDEX(choices!A:A,MATCH(M89,choices!A:A,0)+16), "
",""),IF(M89=INDEX(choices!A:A,MATCH(M89,choices!A:A,0)+17),INDEX(choices!D:D,MATCH(M89,choices!A:A,0)+17),""),IF(M89=INDEX(choices!A:A,MATCH(M89,choices!A:A,0)+17), "
",""),IF(M89=INDEX(choices!A:A,MATCH(M89,choices!A:A,0)+18),INDEX(choices!D:D,MATCH(M89,choices!A:A,0)+18),""),IF(M89=INDEX(choices!A:A,MATCH(M89,choices!A:A,0)+18), "
",""),IF(M89=INDEX(choices!A:A,MATCH(M89,choices!A:A,0)+19),INDEX(choices!D:D,MATCH(M89,choices!A:A,0)+19),""),IF(M89=INDEX(choices!A:A,MATCH(M89,choices!A:A,0)+19), "
",""),IF(M89=INDEX(choices!A:A,MATCH(M89,choices!A:A,0)+20),INDEX(choices!D:D,MATCH(M89,choices!A:A,0)+20),""),IF(M89=INDEX(choices!A:A,MATCH(M89,choices!A:A,0)+20), "
",""))</f>
        <v xml:space="preserve">1. Yes
2. No
</v>
      </c>
      <c r="E89" s="366" t="s">
        <v>1239</v>
      </c>
      <c r="F89" s="280"/>
      <c r="G89" s="67" t="str">
        <f>CONCATENATE(INDEX(choices!C:C,MATCH(M89,choices!A:A,0)),"
",IF(M89=INDEX(choices!A:A,MATCH(M89,choices!A:A,0)+1),INDEX(choices!C:C,MATCH(M89,choices!A:A,0)+1),""),IF(M89=INDEX(choices!A:A,MATCH(M89,choices!A:A,0)+1), "
",""),IF(M89=INDEX(choices!A:A,MATCH(M89,choices!A:A,0)+2),INDEX(choices!C:C,MATCH(M89,choices!A:A,0)+2),""),IF(M89=INDEX(choices!A:A,MATCH(M89,choices!A:A,0)+2), "
",""),IF(M89=INDEX(choices!A:A,MATCH(M89,choices!A:A,0)+3),INDEX(choices!C:C,MATCH(M89,choices!A:A,0)+3),""),IF(M89=INDEX(choices!A:A,MATCH(M89,choices!A:A,0)+3), "
",""),IF(M89=INDEX(choices!A:A,MATCH(M89,choices!A:A,0)+4),INDEX(choices!C:C,MATCH(M89,choices!A:A,0)+4),""),IF(M89=INDEX(choices!A:A,MATCH(M89,choices!A:A,0)+4), "
",""),IF(M89=INDEX(choices!A:A,MATCH(M89,choices!A:A,0)+5),INDEX(choices!C:C,MATCH(M89,choices!A:A,0)+5),""),IF(M89=INDEX(choices!A:A,MATCH(M89,choices!A:A,0)+5), "
",""),IF(M89=INDEX(choices!A:A,MATCH(M89,choices!A:A,0)+6),INDEX(choices!C:C,MATCH(M89,choices!A:A,0)+6),""),IF(M89=INDEX(choices!A:A,MATCH(M89,choices!A:A,0)+6), "
",""),IF(M89=INDEX(choices!A:A,MATCH(M89,choices!A:A,0)+7),INDEX(choices!C:C,MATCH(M89,choices!A:A,0)+7),""),IF(M89=INDEX(choices!A:A,MATCH(M89,choices!A:A,0)+7), "
",""),IF(M89=INDEX(choices!A:A,MATCH(M89,choices!A:A,0)+8),INDEX(choices!C:C,MATCH(M89,choices!A:A,0)+8),""),IF(M89=INDEX(choices!A:A,MATCH(M89,choices!A:A,0)+8), "
",""),IF(M89=INDEX(choices!A:A,MATCH(M89,choices!A:A,0)+9),INDEX(choices!C:C,MATCH(M89,choices!A:A,0)+9),""),IF(M89=INDEX(choices!A:A,MATCH(M89,choices!A:A,0)+9), "
",""),IF(M89=INDEX(choices!A:A,MATCH(M89,choices!A:A,0)+10),INDEX(choices!C:C,MATCH(M89,choices!A:A,0)+10),""),IF(M89=INDEX(choices!A:A,MATCH(M89,choices!A:A,0)+10), "
",""),IF(M89=INDEX(choices!A:A,MATCH(M89,choices!A:A,0)+11),INDEX(choices!C:C,MATCH(M89,choices!A:A,0)+11),""),IF(M89=INDEX(choices!A:A,MATCH(M89,choices!A:A,0)+11), "
",""),IF(M89=INDEX(choices!A:A,MATCH(M89,choices!A:A,0)+12),INDEX(choices!C:C,MATCH(M89,choices!A:A,0)+12),""),IF(M89=INDEX(choices!A:A,MATCH(M89,choices!A:A,0)+12), "
",""),IF(M89=INDEX(choices!A:A,MATCH(M89,choices!A:A,0)+13),INDEX(choices!C:C,MATCH(M89,choices!A:A,0)+13),""),IF(M89=INDEX(choices!A:A,MATCH(M89,choices!A:A,0)+13), "
",""),IF(M89=INDEX(choices!A:A,MATCH(M89,choices!A:A,0)+14),INDEX(choices!C:C,MATCH(M89,choices!A:A,0)+14),""),IF(M89=INDEX(choices!A:A,MATCH(M89,choices!A:A,0)+14), "
",""),IF(M89=INDEX(choices!A:A,MATCH(M89,choices!A:A,0)+15),INDEX(choices!C:C,MATCH(M89,choices!A:A,0)+15),""),IF(M89=INDEX(choices!A:A,MATCH(M89,choices!A:A,0)+15), "
",""),IF(M89=INDEX(choices!A:A,MATCH(M89,choices!A:A,0)+16),INDEX(choices!C:C,MATCH(M89,choices!A:A,0)+16),""),IF(M89=INDEX(choices!A:A,MATCH(M89,choices!A:A,0)+16), "
",""),IF(M89=INDEX(choices!A:A,MATCH(M89,choices!A:A,0)+17),INDEX(choices!C:C,MATCH(M89,choices!A:A,0)+17),""),IF(M89=INDEX(choices!A:A,MATCH(M89,choices!A:A,0)+17), "
",""),IF(M89=INDEX(choices!A:A,MATCH(M89,choices!A:A,0)+18),INDEX(choices!C:C,MATCH(M89,choices!A:A,0)+18),""),IF(M89=INDEX(choices!A:A,MATCH(M89,choices!A:A,0)+18), "
",""),IF(M89=INDEX(choices!A:A,MATCH(M89,choices!A:A,0)+19),INDEX(choices!C:C,MATCH(M89,choices!A:A,0)+19),""),IF(M89=INDEX(choices!A:A,MATCH(M89,choices!A:A,0)+19), "
",""),IF(M89=INDEX(choices!A:A,MATCH(M89,choices!A:A,0)+20),INDEX(choices!C:C,MATCH(M89,choices!A:A,0)+20),""),IF(M89=INDEX(choices!A:A,MATCH(M89,choices!A:A,0)+20), "
","")," ")</f>
        <v xml:space="preserve">1. نعم
2. لا
 </v>
      </c>
      <c r="H89" s="266">
        <f t="shared" si="19"/>
        <v>6</v>
      </c>
      <c r="I89" s="274" t="str">
        <f t="shared" si="14"/>
        <v>14410_6</v>
      </c>
      <c r="J89" s="267"/>
      <c r="K89" s="267"/>
      <c r="L89" s="267" t="s">
        <v>170</v>
      </c>
      <c r="M89" s="277" t="s">
        <v>17</v>
      </c>
      <c r="N89" s="64" t="str">
        <f t="shared" si="15"/>
        <v>q14410_6</v>
      </c>
      <c r="O89" s="306" t="str">
        <f t="shared" si="16"/>
        <v>14410_6. المعاول وغيرها من الأدوات الزراعية الصغيرة</v>
      </c>
      <c r="P89" s="257" t="str">
        <f t="shared" si="17"/>
        <v>14410_6. Hoes and other small farm tools</v>
      </c>
      <c r="Q89" s="28"/>
      <c r="R89" s="28"/>
      <c r="S89" s="427" t="str">
        <f t="shared" si="18"/>
        <v xml:space="preserve">data('valid_overall') ==1 </v>
      </c>
      <c r="T89" s="262"/>
      <c r="U89" s="262"/>
      <c r="V89" s="262"/>
      <c r="W89" s="262"/>
      <c r="X89" s="262"/>
      <c r="Y89" s="71" t="b">
        <v>1</v>
      </c>
    </row>
    <row r="90" spans="1:31" s="265" customFormat="1" ht="45">
      <c r="A90" s="48" t="str">
        <f t="shared" si="13"/>
        <v>q14410_7</v>
      </c>
      <c r="B90" s="280" t="s">
        <v>939</v>
      </c>
      <c r="C90" s="280"/>
      <c r="D90" s="127" t="str">
        <f>CONCATENATE(INDEX(choices!D:D,MATCH(M90,choices!A:A,0)),"
",IF(M90=INDEX(choices!A:A,MATCH(M90,choices!A:A,0)+1),INDEX(choices!D:D,MATCH(M90,choices!A:A,0)+1),""),IF(M90=INDEX(choices!A:A,MATCH(M90,choices!A:A,0)+1), "
",""),IF(M90=INDEX(choices!A:A,MATCH(M90,choices!A:A,0)+2),INDEX(choices!D:D,MATCH(M90,choices!A:A,0)+2),""),IF(M90=INDEX(choices!A:A,MATCH(M90,choices!A:A,0)+2), "
",""),IF(M90=INDEX(choices!A:A,MATCH(M90,choices!A:A,0)+3),INDEX(choices!D:D,MATCH(M90,choices!A:A,0)+3),""),IF(M90=INDEX(choices!A:A,MATCH(M90,choices!A:A,0)+3), "
",""),IF(M90=INDEX(choices!A:A,MATCH(M90,choices!A:A,0)+4),INDEX(choices!D:D,MATCH(M90,choices!A:A,0)+4),""),IF(M90=INDEX(choices!A:A,MATCH(M90,choices!A:A,0)+4), "
",""),IF(M90=INDEX(choices!A:A,MATCH(M90,choices!A:A,0)+5),INDEX(choices!D:D,MATCH(M90,choices!A:A,0)+5),""),IF(M90=INDEX(choices!A:A,MATCH(M90,choices!A:A,0)+5), "
",""),IF(M90=INDEX(choices!A:A,MATCH(M90,choices!A:A,0)+6),INDEX(choices!D:D,MATCH(M90,choices!A:A,0)+6),""),IF(M90=INDEX(choices!A:A,MATCH(M90,choices!A:A,0)+6), "
",""),IF(M90=INDEX(choices!A:A,MATCH(M90,choices!A:A,0)+7),INDEX(choices!D:D,MATCH(M90,choices!A:A,0)+7),""),IF(M90=INDEX(choices!A:A,MATCH(M90,choices!A:A,0)+7), "
",""),IF(M90=INDEX(choices!A:A,MATCH(M90,choices!A:A,0)+8),INDEX(choices!D:D,MATCH(M90,choices!A:A,0)+8),""),IF(M90=INDEX(choices!A:A,MATCH(M90,choices!A:A,0)+8), "
",""),IF(M90=INDEX(choices!A:A,MATCH(M90,choices!A:A,0)+9),INDEX(choices!D:D,MATCH(M90,choices!A:A,0)+9),""),IF(M90=INDEX(choices!A:A,MATCH(M90,choices!A:A,0)+9), "
",""),IF(M90=INDEX(choices!A:A,MATCH(M90,choices!A:A,0)+10),INDEX(choices!D:D,MATCH(M90,choices!A:A,0)+10),""),IF(M90=INDEX(choices!A:A,MATCH(M90,choices!A:A,0)+10), "
",""),IF(M90=INDEX(choices!A:A,MATCH(M90,choices!A:A,0)+11),INDEX(choices!D:D,MATCH(M90,choices!A:A,0)+11),""),IF(M90=INDEX(choices!A:A,MATCH(M90,choices!A:A,0)+11), "
",""),IF(M90=INDEX(choices!A:A,MATCH(M90,choices!A:A,0)+12),INDEX(choices!D:D,MATCH(M90,choices!A:A,0)+12),""),IF(M90=INDEX(choices!A:A,MATCH(M90,choices!A:A,0)+12), "
",""),IF(M90=INDEX(choices!A:A,MATCH(M90,choices!A:A,0)+13),INDEX(choices!D:D,MATCH(M90,choices!A:A,0)+13),""),IF(M90=INDEX(choices!A:A,MATCH(M90,choices!A:A,0)+13), "
",""),IF(M90=INDEX(choices!A:A,MATCH(M90,choices!A:A,0)+14),INDEX(choices!D:D,MATCH(M90,choices!A:A,0)+14),""),IF(M90=INDEX(choices!A:A,MATCH(M90,choices!A:A,0)+14), "
",""),IF(M90=INDEX(choices!A:A,MATCH(M90,choices!A:A,0)+15),INDEX(choices!D:D,MATCH(M90,choices!A:A,0)+15),""),IF(M90=INDEX(choices!A:A,MATCH(M90,choices!A:A,0)+15), "
",""),IF(M90=INDEX(choices!A:A,MATCH(M90,choices!A:A,0)+16),INDEX(choices!D:D,MATCH(M90,choices!A:A,0)+16),""),IF(M90=INDEX(choices!A:A,MATCH(M90,choices!A:A,0)+16), "
",""),IF(M90=INDEX(choices!A:A,MATCH(M90,choices!A:A,0)+17),INDEX(choices!D:D,MATCH(M90,choices!A:A,0)+17),""),IF(M90=INDEX(choices!A:A,MATCH(M90,choices!A:A,0)+17), "
",""),IF(M90=INDEX(choices!A:A,MATCH(M90,choices!A:A,0)+18),INDEX(choices!D:D,MATCH(M90,choices!A:A,0)+18),""),IF(M90=INDEX(choices!A:A,MATCH(M90,choices!A:A,0)+18), "
",""),IF(M90=INDEX(choices!A:A,MATCH(M90,choices!A:A,0)+19),INDEX(choices!D:D,MATCH(M90,choices!A:A,0)+19),""),IF(M90=INDEX(choices!A:A,MATCH(M90,choices!A:A,0)+19), "
",""),IF(M90=INDEX(choices!A:A,MATCH(M90,choices!A:A,0)+20),INDEX(choices!D:D,MATCH(M90,choices!A:A,0)+20),""),IF(M90=INDEX(choices!A:A,MATCH(M90,choices!A:A,0)+20), "
",""))</f>
        <v xml:space="preserve">1. Yes
2. No
</v>
      </c>
      <c r="E90" s="366" t="s">
        <v>1240</v>
      </c>
      <c r="F90" s="280"/>
      <c r="G90" s="67" t="str">
        <f>CONCATENATE(INDEX(choices!C:C,MATCH(M90,choices!A:A,0)),"
",IF(M90=INDEX(choices!A:A,MATCH(M90,choices!A:A,0)+1),INDEX(choices!C:C,MATCH(M90,choices!A:A,0)+1),""),IF(M90=INDEX(choices!A:A,MATCH(M90,choices!A:A,0)+1), "
",""),IF(M90=INDEX(choices!A:A,MATCH(M90,choices!A:A,0)+2),INDEX(choices!C:C,MATCH(M90,choices!A:A,0)+2),""),IF(M90=INDEX(choices!A:A,MATCH(M90,choices!A:A,0)+2), "
",""),IF(M90=INDEX(choices!A:A,MATCH(M90,choices!A:A,0)+3),INDEX(choices!C:C,MATCH(M90,choices!A:A,0)+3),""),IF(M90=INDEX(choices!A:A,MATCH(M90,choices!A:A,0)+3), "
",""),IF(M90=INDEX(choices!A:A,MATCH(M90,choices!A:A,0)+4),INDEX(choices!C:C,MATCH(M90,choices!A:A,0)+4),""),IF(M90=INDEX(choices!A:A,MATCH(M90,choices!A:A,0)+4), "
",""),IF(M90=INDEX(choices!A:A,MATCH(M90,choices!A:A,0)+5),INDEX(choices!C:C,MATCH(M90,choices!A:A,0)+5),""),IF(M90=INDEX(choices!A:A,MATCH(M90,choices!A:A,0)+5), "
",""),IF(M90=INDEX(choices!A:A,MATCH(M90,choices!A:A,0)+6),INDEX(choices!C:C,MATCH(M90,choices!A:A,0)+6),""),IF(M90=INDEX(choices!A:A,MATCH(M90,choices!A:A,0)+6), "
",""),IF(M90=INDEX(choices!A:A,MATCH(M90,choices!A:A,0)+7),INDEX(choices!C:C,MATCH(M90,choices!A:A,0)+7),""),IF(M90=INDEX(choices!A:A,MATCH(M90,choices!A:A,0)+7), "
",""),IF(M90=INDEX(choices!A:A,MATCH(M90,choices!A:A,0)+8),INDEX(choices!C:C,MATCH(M90,choices!A:A,0)+8),""),IF(M90=INDEX(choices!A:A,MATCH(M90,choices!A:A,0)+8), "
",""),IF(M90=INDEX(choices!A:A,MATCH(M90,choices!A:A,0)+9),INDEX(choices!C:C,MATCH(M90,choices!A:A,0)+9),""),IF(M90=INDEX(choices!A:A,MATCH(M90,choices!A:A,0)+9), "
",""),IF(M90=INDEX(choices!A:A,MATCH(M90,choices!A:A,0)+10),INDEX(choices!C:C,MATCH(M90,choices!A:A,0)+10),""),IF(M90=INDEX(choices!A:A,MATCH(M90,choices!A:A,0)+10), "
",""),IF(M90=INDEX(choices!A:A,MATCH(M90,choices!A:A,0)+11),INDEX(choices!C:C,MATCH(M90,choices!A:A,0)+11),""),IF(M90=INDEX(choices!A:A,MATCH(M90,choices!A:A,0)+11), "
",""),IF(M90=INDEX(choices!A:A,MATCH(M90,choices!A:A,0)+12),INDEX(choices!C:C,MATCH(M90,choices!A:A,0)+12),""),IF(M90=INDEX(choices!A:A,MATCH(M90,choices!A:A,0)+12), "
",""),IF(M90=INDEX(choices!A:A,MATCH(M90,choices!A:A,0)+13),INDEX(choices!C:C,MATCH(M90,choices!A:A,0)+13),""),IF(M90=INDEX(choices!A:A,MATCH(M90,choices!A:A,0)+13), "
",""),IF(M90=INDEX(choices!A:A,MATCH(M90,choices!A:A,0)+14),INDEX(choices!C:C,MATCH(M90,choices!A:A,0)+14),""),IF(M90=INDEX(choices!A:A,MATCH(M90,choices!A:A,0)+14), "
",""),IF(M90=INDEX(choices!A:A,MATCH(M90,choices!A:A,0)+15),INDEX(choices!C:C,MATCH(M90,choices!A:A,0)+15),""),IF(M90=INDEX(choices!A:A,MATCH(M90,choices!A:A,0)+15), "
",""),IF(M90=INDEX(choices!A:A,MATCH(M90,choices!A:A,0)+16),INDEX(choices!C:C,MATCH(M90,choices!A:A,0)+16),""),IF(M90=INDEX(choices!A:A,MATCH(M90,choices!A:A,0)+16), "
",""),IF(M90=INDEX(choices!A:A,MATCH(M90,choices!A:A,0)+17),INDEX(choices!C:C,MATCH(M90,choices!A:A,0)+17),""),IF(M90=INDEX(choices!A:A,MATCH(M90,choices!A:A,0)+17), "
",""),IF(M90=INDEX(choices!A:A,MATCH(M90,choices!A:A,0)+18),INDEX(choices!C:C,MATCH(M90,choices!A:A,0)+18),""),IF(M90=INDEX(choices!A:A,MATCH(M90,choices!A:A,0)+18), "
",""),IF(M90=INDEX(choices!A:A,MATCH(M90,choices!A:A,0)+19),INDEX(choices!C:C,MATCH(M90,choices!A:A,0)+19),""),IF(M90=INDEX(choices!A:A,MATCH(M90,choices!A:A,0)+19), "
",""),IF(M90=INDEX(choices!A:A,MATCH(M90,choices!A:A,0)+20),INDEX(choices!C:C,MATCH(M90,choices!A:A,0)+20),""),IF(M90=INDEX(choices!A:A,MATCH(M90,choices!A:A,0)+20), "
","")," ")</f>
        <v xml:space="preserve">1. نعم
2. لا
 </v>
      </c>
      <c r="H90" s="266">
        <f t="shared" si="19"/>
        <v>7</v>
      </c>
      <c r="I90" s="274" t="str">
        <f t="shared" si="14"/>
        <v>14410_7</v>
      </c>
      <c r="J90" s="267"/>
      <c r="K90" s="267"/>
      <c r="L90" s="267" t="s">
        <v>170</v>
      </c>
      <c r="M90" s="277" t="s">
        <v>17</v>
      </c>
      <c r="N90" s="64" t="str">
        <f t="shared" si="15"/>
        <v>q14410_7</v>
      </c>
      <c r="O90" s="306" t="str">
        <f t="shared" si="16"/>
        <v>14410_7. أدوات زراعية كبيرة</v>
      </c>
      <c r="P90" s="257" t="str">
        <f t="shared" si="17"/>
        <v>14410_7. Large farm tools</v>
      </c>
      <c r="Q90" s="28"/>
      <c r="R90" s="28"/>
      <c r="S90" s="427" t="str">
        <f t="shared" si="18"/>
        <v xml:space="preserve">data('valid_overall') ==1 </v>
      </c>
      <c r="T90" s="262"/>
      <c r="U90" s="262"/>
      <c r="V90" s="262"/>
      <c r="W90" s="262"/>
      <c r="X90" s="262"/>
      <c r="Y90" s="71" t="b">
        <v>1</v>
      </c>
    </row>
    <row r="91" spans="1:31" s="265" customFormat="1" ht="47.25">
      <c r="A91" s="48" t="str">
        <f t="shared" si="13"/>
        <v>q14410_8</v>
      </c>
      <c r="B91" s="280" t="s">
        <v>940</v>
      </c>
      <c r="C91" s="280"/>
      <c r="D91" s="127" t="str">
        <f>CONCATENATE(INDEX(choices!D:D,MATCH(M91,choices!A:A,0)),"
",IF(M91=INDEX(choices!A:A,MATCH(M91,choices!A:A,0)+1),INDEX(choices!D:D,MATCH(M91,choices!A:A,0)+1),""),IF(M91=INDEX(choices!A:A,MATCH(M91,choices!A:A,0)+1), "
",""),IF(M91=INDEX(choices!A:A,MATCH(M91,choices!A:A,0)+2),INDEX(choices!D:D,MATCH(M91,choices!A:A,0)+2),""),IF(M91=INDEX(choices!A:A,MATCH(M91,choices!A:A,0)+2), "
",""),IF(M91=INDEX(choices!A:A,MATCH(M91,choices!A:A,0)+3),INDEX(choices!D:D,MATCH(M91,choices!A:A,0)+3),""),IF(M91=INDEX(choices!A:A,MATCH(M91,choices!A:A,0)+3), "
",""),IF(M91=INDEX(choices!A:A,MATCH(M91,choices!A:A,0)+4),INDEX(choices!D:D,MATCH(M91,choices!A:A,0)+4),""),IF(M91=INDEX(choices!A:A,MATCH(M91,choices!A:A,0)+4), "
",""),IF(M91=INDEX(choices!A:A,MATCH(M91,choices!A:A,0)+5),INDEX(choices!D:D,MATCH(M91,choices!A:A,0)+5),""),IF(M91=INDEX(choices!A:A,MATCH(M91,choices!A:A,0)+5), "
",""),IF(M91=INDEX(choices!A:A,MATCH(M91,choices!A:A,0)+6),INDEX(choices!D:D,MATCH(M91,choices!A:A,0)+6),""),IF(M91=INDEX(choices!A:A,MATCH(M91,choices!A:A,0)+6), "
",""),IF(M91=INDEX(choices!A:A,MATCH(M91,choices!A:A,0)+7),INDEX(choices!D:D,MATCH(M91,choices!A:A,0)+7),""),IF(M91=INDEX(choices!A:A,MATCH(M91,choices!A:A,0)+7), "
",""),IF(M91=INDEX(choices!A:A,MATCH(M91,choices!A:A,0)+8),INDEX(choices!D:D,MATCH(M91,choices!A:A,0)+8),""),IF(M91=INDEX(choices!A:A,MATCH(M91,choices!A:A,0)+8), "
",""),IF(M91=INDEX(choices!A:A,MATCH(M91,choices!A:A,0)+9),INDEX(choices!D:D,MATCH(M91,choices!A:A,0)+9),""),IF(M91=INDEX(choices!A:A,MATCH(M91,choices!A:A,0)+9), "
",""),IF(M91=INDEX(choices!A:A,MATCH(M91,choices!A:A,0)+10),INDEX(choices!D:D,MATCH(M91,choices!A:A,0)+10),""),IF(M91=INDEX(choices!A:A,MATCH(M91,choices!A:A,0)+10), "
",""),IF(M91=INDEX(choices!A:A,MATCH(M91,choices!A:A,0)+11),INDEX(choices!D:D,MATCH(M91,choices!A:A,0)+11),""),IF(M91=INDEX(choices!A:A,MATCH(M91,choices!A:A,0)+11), "
",""),IF(M91=INDEX(choices!A:A,MATCH(M91,choices!A:A,0)+12),INDEX(choices!D:D,MATCH(M91,choices!A:A,0)+12),""),IF(M91=INDEX(choices!A:A,MATCH(M91,choices!A:A,0)+12), "
",""),IF(M91=INDEX(choices!A:A,MATCH(M91,choices!A:A,0)+13),INDEX(choices!D:D,MATCH(M91,choices!A:A,0)+13),""),IF(M91=INDEX(choices!A:A,MATCH(M91,choices!A:A,0)+13), "
",""),IF(M91=INDEX(choices!A:A,MATCH(M91,choices!A:A,0)+14),INDEX(choices!D:D,MATCH(M91,choices!A:A,0)+14),""),IF(M91=INDEX(choices!A:A,MATCH(M91,choices!A:A,0)+14), "
",""),IF(M91=INDEX(choices!A:A,MATCH(M91,choices!A:A,0)+15),INDEX(choices!D:D,MATCH(M91,choices!A:A,0)+15),""),IF(M91=INDEX(choices!A:A,MATCH(M91,choices!A:A,0)+15), "
",""),IF(M91=INDEX(choices!A:A,MATCH(M91,choices!A:A,0)+16),INDEX(choices!D:D,MATCH(M91,choices!A:A,0)+16),""),IF(M91=INDEX(choices!A:A,MATCH(M91,choices!A:A,0)+16), "
",""),IF(M91=INDEX(choices!A:A,MATCH(M91,choices!A:A,0)+17),INDEX(choices!D:D,MATCH(M91,choices!A:A,0)+17),""),IF(M91=INDEX(choices!A:A,MATCH(M91,choices!A:A,0)+17), "
",""),IF(M91=INDEX(choices!A:A,MATCH(M91,choices!A:A,0)+18),INDEX(choices!D:D,MATCH(M91,choices!A:A,0)+18),""),IF(M91=INDEX(choices!A:A,MATCH(M91,choices!A:A,0)+18), "
",""),IF(M91=INDEX(choices!A:A,MATCH(M91,choices!A:A,0)+19),INDEX(choices!D:D,MATCH(M91,choices!A:A,0)+19),""),IF(M91=INDEX(choices!A:A,MATCH(M91,choices!A:A,0)+19), "
",""),IF(M91=INDEX(choices!A:A,MATCH(M91,choices!A:A,0)+20),INDEX(choices!D:D,MATCH(M91,choices!A:A,0)+20),""),IF(M91=INDEX(choices!A:A,MATCH(M91,choices!A:A,0)+20), "
",""))</f>
        <v xml:space="preserve">1. Yes
2. No
</v>
      </c>
      <c r="E91" s="365" t="s">
        <v>1241</v>
      </c>
      <c r="F91" s="280"/>
      <c r="G91" s="67" t="str">
        <f>CONCATENATE(INDEX(choices!C:C,MATCH(M91,choices!A:A,0)),"
",IF(M91=INDEX(choices!A:A,MATCH(M91,choices!A:A,0)+1),INDEX(choices!C:C,MATCH(M91,choices!A:A,0)+1),""),IF(M91=INDEX(choices!A:A,MATCH(M91,choices!A:A,0)+1), "
",""),IF(M91=INDEX(choices!A:A,MATCH(M91,choices!A:A,0)+2),INDEX(choices!C:C,MATCH(M91,choices!A:A,0)+2),""),IF(M91=INDEX(choices!A:A,MATCH(M91,choices!A:A,0)+2), "
",""),IF(M91=INDEX(choices!A:A,MATCH(M91,choices!A:A,0)+3),INDEX(choices!C:C,MATCH(M91,choices!A:A,0)+3),""),IF(M91=INDEX(choices!A:A,MATCH(M91,choices!A:A,0)+3), "
",""),IF(M91=INDEX(choices!A:A,MATCH(M91,choices!A:A,0)+4),INDEX(choices!C:C,MATCH(M91,choices!A:A,0)+4),""),IF(M91=INDEX(choices!A:A,MATCH(M91,choices!A:A,0)+4), "
",""),IF(M91=INDEX(choices!A:A,MATCH(M91,choices!A:A,0)+5),INDEX(choices!C:C,MATCH(M91,choices!A:A,0)+5),""),IF(M91=INDEX(choices!A:A,MATCH(M91,choices!A:A,0)+5), "
",""),IF(M91=INDEX(choices!A:A,MATCH(M91,choices!A:A,0)+6),INDEX(choices!C:C,MATCH(M91,choices!A:A,0)+6),""),IF(M91=INDEX(choices!A:A,MATCH(M91,choices!A:A,0)+6), "
",""),IF(M91=INDEX(choices!A:A,MATCH(M91,choices!A:A,0)+7),INDEX(choices!C:C,MATCH(M91,choices!A:A,0)+7),""),IF(M91=INDEX(choices!A:A,MATCH(M91,choices!A:A,0)+7), "
",""),IF(M91=INDEX(choices!A:A,MATCH(M91,choices!A:A,0)+8),INDEX(choices!C:C,MATCH(M91,choices!A:A,0)+8),""),IF(M91=INDEX(choices!A:A,MATCH(M91,choices!A:A,0)+8), "
",""),IF(M91=INDEX(choices!A:A,MATCH(M91,choices!A:A,0)+9),INDEX(choices!C:C,MATCH(M91,choices!A:A,0)+9),""),IF(M91=INDEX(choices!A:A,MATCH(M91,choices!A:A,0)+9), "
",""),IF(M91=INDEX(choices!A:A,MATCH(M91,choices!A:A,0)+10),INDEX(choices!C:C,MATCH(M91,choices!A:A,0)+10),""),IF(M91=INDEX(choices!A:A,MATCH(M91,choices!A:A,0)+10), "
",""),IF(M91=INDEX(choices!A:A,MATCH(M91,choices!A:A,0)+11),INDEX(choices!C:C,MATCH(M91,choices!A:A,0)+11),""),IF(M91=INDEX(choices!A:A,MATCH(M91,choices!A:A,0)+11), "
",""),IF(M91=INDEX(choices!A:A,MATCH(M91,choices!A:A,0)+12),INDEX(choices!C:C,MATCH(M91,choices!A:A,0)+12),""),IF(M91=INDEX(choices!A:A,MATCH(M91,choices!A:A,0)+12), "
",""),IF(M91=INDEX(choices!A:A,MATCH(M91,choices!A:A,0)+13),INDEX(choices!C:C,MATCH(M91,choices!A:A,0)+13),""),IF(M91=INDEX(choices!A:A,MATCH(M91,choices!A:A,0)+13), "
",""),IF(M91=INDEX(choices!A:A,MATCH(M91,choices!A:A,0)+14),INDEX(choices!C:C,MATCH(M91,choices!A:A,0)+14),""),IF(M91=INDEX(choices!A:A,MATCH(M91,choices!A:A,0)+14), "
",""),IF(M91=INDEX(choices!A:A,MATCH(M91,choices!A:A,0)+15),INDEX(choices!C:C,MATCH(M91,choices!A:A,0)+15),""),IF(M91=INDEX(choices!A:A,MATCH(M91,choices!A:A,0)+15), "
",""),IF(M91=INDEX(choices!A:A,MATCH(M91,choices!A:A,0)+16),INDEX(choices!C:C,MATCH(M91,choices!A:A,0)+16),""),IF(M91=INDEX(choices!A:A,MATCH(M91,choices!A:A,0)+16), "
",""),IF(M91=INDEX(choices!A:A,MATCH(M91,choices!A:A,0)+17),INDEX(choices!C:C,MATCH(M91,choices!A:A,0)+17),""),IF(M91=INDEX(choices!A:A,MATCH(M91,choices!A:A,0)+17), "
",""),IF(M91=INDEX(choices!A:A,MATCH(M91,choices!A:A,0)+18),INDEX(choices!C:C,MATCH(M91,choices!A:A,0)+18),""),IF(M91=INDEX(choices!A:A,MATCH(M91,choices!A:A,0)+18), "
",""),IF(M91=INDEX(choices!A:A,MATCH(M91,choices!A:A,0)+19),INDEX(choices!C:C,MATCH(M91,choices!A:A,0)+19),""),IF(M91=INDEX(choices!A:A,MATCH(M91,choices!A:A,0)+19), "
",""),IF(M91=INDEX(choices!A:A,MATCH(M91,choices!A:A,0)+20),INDEX(choices!C:C,MATCH(M91,choices!A:A,0)+20),""),IF(M91=INDEX(choices!A:A,MATCH(M91,choices!A:A,0)+20), "
","")," ")</f>
        <v xml:space="preserve">1. نعم
2. لا
 </v>
      </c>
      <c r="H91" s="266">
        <f t="shared" si="19"/>
        <v>8</v>
      </c>
      <c r="I91" s="274" t="str">
        <f t="shared" si="14"/>
        <v>14410_8</v>
      </c>
      <c r="J91" s="267"/>
      <c r="K91" s="267"/>
      <c r="L91" s="267" t="s">
        <v>170</v>
      </c>
      <c r="M91" s="277" t="s">
        <v>17</v>
      </c>
      <c r="N91" s="64" t="str">
        <f t="shared" si="15"/>
        <v>q14410_8</v>
      </c>
      <c r="O91" s="306" t="str">
        <f t="shared" si="16"/>
        <v>14410_8. مدخلات زراعية (مثل: البذور)</v>
      </c>
      <c r="P91" s="257" t="str">
        <f t="shared" si="17"/>
        <v>14410_8. Agricultural inputs (ex: seeds)</v>
      </c>
      <c r="Q91" s="28"/>
      <c r="R91" s="28"/>
      <c r="S91" s="427" t="str">
        <f t="shared" si="18"/>
        <v xml:space="preserve">data('valid_overall') ==1 </v>
      </c>
      <c r="T91" s="262"/>
      <c r="U91" s="262"/>
      <c r="V91" s="262"/>
      <c r="W91" s="262"/>
      <c r="X91" s="262"/>
      <c r="Y91" s="71" t="b">
        <v>1</v>
      </c>
    </row>
    <row r="92" spans="1:31" s="265" customFormat="1" ht="45">
      <c r="A92" s="48" t="str">
        <f t="shared" si="13"/>
        <v>q14410_9</v>
      </c>
      <c r="B92" s="280" t="s">
        <v>929</v>
      </c>
      <c r="C92" s="280"/>
      <c r="D92" s="127" t="str">
        <f>CONCATENATE(INDEX(choices!D:D,MATCH(M92,choices!A:A,0)),"
",IF(M92=INDEX(choices!A:A,MATCH(M92,choices!A:A,0)+1),INDEX(choices!D:D,MATCH(M92,choices!A:A,0)+1),""),IF(M92=INDEX(choices!A:A,MATCH(M92,choices!A:A,0)+1), "
",""),IF(M92=INDEX(choices!A:A,MATCH(M92,choices!A:A,0)+2),INDEX(choices!D:D,MATCH(M92,choices!A:A,0)+2),""),IF(M92=INDEX(choices!A:A,MATCH(M92,choices!A:A,0)+2), "
",""),IF(M92=INDEX(choices!A:A,MATCH(M92,choices!A:A,0)+3),INDEX(choices!D:D,MATCH(M92,choices!A:A,0)+3),""),IF(M92=INDEX(choices!A:A,MATCH(M92,choices!A:A,0)+3), "
",""),IF(M92=INDEX(choices!A:A,MATCH(M92,choices!A:A,0)+4),INDEX(choices!D:D,MATCH(M92,choices!A:A,0)+4),""),IF(M92=INDEX(choices!A:A,MATCH(M92,choices!A:A,0)+4), "
",""),IF(M92=INDEX(choices!A:A,MATCH(M92,choices!A:A,0)+5),INDEX(choices!D:D,MATCH(M92,choices!A:A,0)+5),""),IF(M92=INDEX(choices!A:A,MATCH(M92,choices!A:A,0)+5), "
",""),IF(M92=INDEX(choices!A:A,MATCH(M92,choices!A:A,0)+6),INDEX(choices!D:D,MATCH(M92,choices!A:A,0)+6),""),IF(M92=INDEX(choices!A:A,MATCH(M92,choices!A:A,0)+6), "
",""),IF(M92=INDEX(choices!A:A,MATCH(M92,choices!A:A,0)+7),INDEX(choices!D:D,MATCH(M92,choices!A:A,0)+7),""),IF(M92=INDEX(choices!A:A,MATCH(M92,choices!A:A,0)+7), "
",""),IF(M92=INDEX(choices!A:A,MATCH(M92,choices!A:A,0)+8),INDEX(choices!D:D,MATCH(M92,choices!A:A,0)+8),""),IF(M92=INDEX(choices!A:A,MATCH(M92,choices!A:A,0)+8), "
",""),IF(M92=INDEX(choices!A:A,MATCH(M92,choices!A:A,0)+9),INDEX(choices!D:D,MATCH(M92,choices!A:A,0)+9),""),IF(M92=INDEX(choices!A:A,MATCH(M92,choices!A:A,0)+9), "
",""),IF(M92=INDEX(choices!A:A,MATCH(M92,choices!A:A,0)+10),INDEX(choices!D:D,MATCH(M92,choices!A:A,0)+10),""),IF(M92=INDEX(choices!A:A,MATCH(M92,choices!A:A,0)+10), "
",""),IF(M92=INDEX(choices!A:A,MATCH(M92,choices!A:A,0)+11),INDEX(choices!D:D,MATCH(M92,choices!A:A,0)+11),""),IF(M92=INDEX(choices!A:A,MATCH(M92,choices!A:A,0)+11), "
",""),IF(M92=INDEX(choices!A:A,MATCH(M92,choices!A:A,0)+12),INDEX(choices!D:D,MATCH(M92,choices!A:A,0)+12),""),IF(M92=INDEX(choices!A:A,MATCH(M92,choices!A:A,0)+12), "
",""),IF(M92=INDEX(choices!A:A,MATCH(M92,choices!A:A,0)+13),INDEX(choices!D:D,MATCH(M92,choices!A:A,0)+13),""),IF(M92=INDEX(choices!A:A,MATCH(M92,choices!A:A,0)+13), "
",""),IF(M92=INDEX(choices!A:A,MATCH(M92,choices!A:A,0)+14),INDEX(choices!D:D,MATCH(M92,choices!A:A,0)+14),""),IF(M92=INDEX(choices!A:A,MATCH(M92,choices!A:A,0)+14), "
",""),IF(M92=INDEX(choices!A:A,MATCH(M92,choices!A:A,0)+15),INDEX(choices!D:D,MATCH(M92,choices!A:A,0)+15),""),IF(M92=INDEX(choices!A:A,MATCH(M92,choices!A:A,0)+15), "
",""),IF(M92=INDEX(choices!A:A,MATCH(M92,choices!A:A,0)+16),INDEX(choices!D:D,MATCH(M92,choices!A:A,0)+16),""),IF(M92=INDEX(choices!A:A,MATCH(M92,choices!A:A,0)+16), "
",""),IF(M92=INDEX(choices!A:A,MATCH(M92,choices!A:A,0)+17),INDEX(choices!D:D,MATCH(M92,choices!A:A,0)+17),""),IF(M92=INDEX(choices!A:A,MATCH(M92,choices!A:A,0)+17), "
",""),IF(M92=INDEX(choices!A:A,MATCH(M92,choices!A:A,0)+18),INDEX(choices!D:D,MATCH(M92,choices!A:A,0)+18),""),IF(M92=INDEX(choices!A:A,MATCH(M92,choices!A:A,0)+18), "
",""),IF(M92=INDEX(choices!A:A,MATCH(M92,choices!A:A,0)+19),INDEX(choices!D:D,MATCH(M92,choices!A:A,0)+19),""),IF(M92=INDEX(choices!A:A,MATCH(M92,choices!A:A,0)+19), "
",""),IF(M92=INDEX(choices!A:A,MATCH(M92,choices!A:A,0)+20),INDEX(choices!D:D,MATCH(M92,choices!A:A,0)+20),""),IF(M92=INDEX(choices!A:A,MATCH(M92,choices!A:A,0)+20), "
",""))</f>
        <v xml:space="preserve">1. Yes
2. No
</v>
      </c>
      <c r="E92" s="366" t="s">
        <v>1232</v>
      </c>
      <c r="F92" s="280"/>
      <c r="G92" s="67" t="str">
        <f>CONCATENATE(INDEX(choices!C:C,MATCH(M92,choices!A:A,0)),"
",IF(M92=INDEX(choices!A:A,MATCH(M92,choices!A:A,0)+1),INDEX(choices!C:C,MATCH(M92,choices!A:A,0)+1),""),IF(M92=INDEX(choices!A:A,MATCH(M92,choices!A:A,0)+1), "
",""),IF(M92=INDEX(choices!A:A,MATCH(M92,choices!A:A,0)+2),INDEX(choices!C:C,MATCH(M92,choices!A:A,0)+2),""),IF(M92=INDEX(choices!A:A,MATCH(M92,choices!A:A,0)+2), "
",""),IF(M92=INDEX(choices!A:A,MATCH(M92,choices!A:A,0)+3),INDEX(choices!C:C,MATCH(M92,choices!A:A,0)+3),""),IF(M92=INDEX(choices!A:A,MATCH(M92,choices!A:A,0)+3), "
",""),IF(M92=INDEX(choices!A:A,MATCH(M92,choices!A:A,0)+4),INDEX(choices!C:C,MATCH(M92,choices!A:A,0)+4),""),IF(M92=INDEX(choices!A:A,MATCH(M92,choices!A:A,0)+4), "
",""),IF(M92=INDEX(choices!A:A,MATCH(M92,choices!A:A,0)+5),INDEX(choices!C:C,MATCH(M92,choices!A:A,0)+5),""),IF(M92=INDEX(choices!A:A,MATCH(M92,choices!A:A,0)+5), "
",""),IF(M92=INDEX(choices!A:A,MATCH(M92,choices!A:A,0)+6),INDEX(choices!C:C,MATCH(M92,choices!A:A,0)+6),""),IF(M92=INDEX(choices!A:A,MATCH(M92,choices!A:A,0)+6), "
",""),IF(M92=INDEX(choices!A:A,MATCH(M92,choices!A:A,0)+7),INDEX(choices!C:C,MATCH(M92,choices!A:A,0)+7),""),IF(M92=INDEX(choices!A:A,MATCH(M92,choices!A:A,0)+7), "
",""),IF(M92=INDEX(choices!A:A,MATCH(M92,choices!A:A,0)+8),INDEX(choices!C:C,MATCH(M92,choices!A:A,0)+8),""),IF(M92=INDEX(choices!A:A,MATCH(M92,choices!A:A,0)+8), "
",""),IF(M92=INDEX(choices!A:A,MATCH(M92,choices!A:A,0)+9),INDEX(choices!C:C,MATCH(M92,choices!A:A,0)+9),""),IF(M92=INDEX(choices!A:A,MATCH(M92,choices!A:A,0)+9), "
",""),IF(M92=INDEX(choices!A:A,MATCH(M92,choices!A:A,0)+10),INDEX(choices!C:C,MATCH(M92,choices!A:A,0)+10),""),IF(M92=INDEX(choices!A:A,MATCH(M92,choices!A:A,0)+10), "
",""),IF(M92=INDEX(choices!A:A,MATCH(M92,choices!A:A,0)+11),INDEX(choices!C:C,MATCH(M92,choices!A:A,0)+11),""),IF(M92=INDEX(choices!A:A,MATCH(M92,choices!A:A,0)+11), "
",""),IF(M92=INDEX(choices!A:A,MATCH(M92,choices!A:A,0)+12),INDEX(choices!C:C,MATCH(M92,choices!A:A,0)+12),""),IF(M92=INDEX(choices!A:A,MATCH(M92,choices!A:A,0)+12), "
",""),IF(M92=INDEX(choices!A:A,MATCH(M92,choices!A:A,0)+13),INDEX(choices!C:C,MATCH(M92,choices!A:A,0)+13),""),IF(M92=INDEX(choices!A:A,MATCH(M92,choices!A:A,0)+13), "
",""),IF(M92=INDEX(choices!A:A,MATCH(M92,choices!A:A,0)+14),INDEX(choices!C:C,MATCH(M92,choices!A:A,0)+14),""),IF(M92=INDEX(choices!A:A,MATCH(M92,choices!A:A,0)+14), "
",""),IF(M92=INDEX(choices!A:A,MATCH(M92,choices!A:A,0)+15),INDEX(choices!C:C,MATCH(M92,choices!A:A,0)+15),""),IF(M92=INDEX(choices!A:A,MATCH(M92,choices!A:A,0)+15), "
",""),IF(M92=INDEX(choices!A:A,MATCH(M92,choices!A:A,0)+16),INDEX(choices!C:C,MATCH(M92,choices!A:A,0)+16),""),IF(M92=INDEX(choices!A:A,MATCH(M92,choices!A:A,0)+16), "
",""),IF(M92=INDEX(choices!A:A,MATCH(M92,choices!A:A,0)+17),INDEX(choices!C:C,MATCH(M92,choices!A:A,0)+17),""),IF(M92=INDEX(choices!A:A,MATCH(M92,choices!A:A,0)+17), "
",""),IF(M92=INDEX(choices!A:A,MATCH(M92,choices!A:A,0)+18),INDEX(choices!C:C,MATCH(M92,choices!A:A,0)+18),""),IF(M92=INDEX(choices!A:A,MATCH(M92,choices!A:A,0)+18), "
",""),IF(M92=INDEX(choices!A:A,MATCH(M92,choices!A:A,0)+19),INDEX(choices!C:C,MATCH(M92,choices!A:A,0)+19),""),IF(M92=INDEX(choices!A:A,MATCH(M92,choices!A:A,0)+19), "
",""),IF(M92=INDEX(choices!A:A,MATCH(M92,choices!A:A,0)+20),INDEX(choices!C:C,MATCH(M92,choices!A:A,0)+20),""),IF(M92=INDEX(choices!A:A,MATCH(M92,choices!A:A,0)+20), "
","")," ")</f>
        <v xml:space="preserve">1. نعم
2. لا
 </v>
      </c>
      <c r="H92" s="266">
        <f t="shared" si="19"/>
        <v>9</v>
      </c>
      <c r="I92" s="274" t="str">
        <f t="shared" si="14"/>
        <v>14410_9</v>
      </c>
      <c r="J92" s="267"/>
      <c r="K92" s="267"/>
      <c r="L92" s="267" t="s">
        <v>170</v>
      </c>
      <c r="M92" s="277" t="s">
        <v>17</v>
      </c>
      <c r="N92" s="64" t="str">
        <f t="shared" si="15"/>
        <v>q14410_9</v>
      </c>
      <c r="O92" s="306" t="str">
        <f t="shared" si="16"/>
        <v>14410_9. أخرى (حدد)</v>
      </c>
      <c r="P92" s="257" t="str">
        <f t="shared" si="17"/>
        <v>14410_9. other, specify</v>
      </c>
      <c r="Q92" s="28"/>
      <c r="R92" s="28"/>
      <c r="S92" s="427" t="str">
        <f t="shared" si="18"/>
        <v xml:space="preserve">data('valid_overall') ==1 </v>
      </c>
      <c r="T92" s="262"/>
      <c r="U92" s="262"/>
      <c r="V92" s="262"/>
      <c r="W92" s="262"/>
      <c r="X92" s="262"/>
      <c r="Y92" s="71" t="b">
        <v>1</v>
      </c>
    </row>
    <row r="93" spans="1:31" s="1" customFormat="1">
      <c r="A93" s="28"/>
      <c r="B93" s="129"/>
      <c r="C93" s="129"/>
      <c r="D93" s="28"/>
      <c r="E93" s="138"/>
      <c r="F93" s="129"/>
      <c r="G93" s="133"/>
      <c r="H93" s="133"/>
      <c r="I93" s="28"/>
      <c r="J93" s="135" t="s">
        <v>23</v>
      </c>
      <c r="K93" s="14" t="str">
        <f>CONCATENATE("selected (data('",N92,"'), '1')")</f>
        <v>selected (data('q14410_9'), '1')</v>
      </c>
      <c r="L93" s="19"/>
      <c r="M93" s="12"/>
      <c r="N93" s="14"/>
      <c r="O93" s="48"/>
      <c r="P93" s="31"/>
      <c r="Q93" s="31"/>
      <c r="R93" s="28"/>
      <c r="S93" s="43"/>
      <c r="T93" s="14"/>
      <c r="U93" s="14"/>
      <c r="V93" s="14"/>
      <c r="W93" s="14"/>
      <c r="X93" s="14"/>
      <c r="Y93" s="28"/>
      <c r="Z93" s="28"/>
      <c r="AA93" s="14"/>
      <c r="AB93" s="6"/>
      <c r="AC93" s="14"/>
      <c r="AD93" s="14"/>
      <c r="AE93" s="14"/>
    </row>
    <row r="94" spans="1:31" s="1" customFormat="1" ht="30">
      <c r="A94" s="28" t="str">
        <f>CONCATENATE(A92,"_other")</f>
        <v>q14410_9_other</v>
      </c>
      <c r="B94" s="129" t="s">
        <v>393</v>
      </c>
      <c r="C94" s="129"/>
      <c r="D94" s="28"/>
      <c r="E94" s="138" t="s">
        <v>1088</v>
      </c>
      <c r="F94" s="129"/>
      <c r="G94" s="133"/>
      <c r="H94" s="133"/>
      <c r="I94" s="28" t="str">
        <f>CONCATENATE(I92,"_other")</f>
        <v>14410_9_other</v>
      </c>
      <c r="J94" s="43"/>
      <c r="K94" s="14"/>
      <c r="L94" s="19" t="s">
        <v>8</v>
      </c>
      <c r="M94" s="12"/>
      <c r="N94" s="14" t="str">
        <f>CONCATENATE("q",I94)</f>
        <v>q14410_9_other</v>
      </c>
      <c r="O94" s="48" t="str">
        <f>CONCATENATE(I94,". ",E94)</f>
        <v>14410_9_other. أخرى</v>
      </c>
      <c r="P94" s="48" t="str">
        <f>CONCATENATE($I94,". ",B94)</f>
        <v xml:space="preserve">14410_9_other. Other: </v>
      </c>
      <c r="Q94" s="28"/>
      <c r="R94" s="28"/>
      <c r="S94" s="43" t="str">
        <f>CONCATENATE(K93, " &amp;&amp; ", '1_0_statistical_identification'!$S$164)</f>
        <v>selected (data('q14410_9'), '1') &amp;&amp; (data('valid_overall') == 1)</v>
      </c>
      <c r="T94" s="47"/>
      <c r="U94" s="47"/>
      <c r="V94" s="47"/>
      <c r="W94" s="47"/>
      <c r="X94" s="47"/>
      <c r="Y94" s="14" t="b">
        <v>1</v>
      </c>
      <c r="Z94" s="28"/>
      <c r="AB94" s="6"/>
      <c r="AC94" s="14"/>
      <c r="AD94" s="19"/>
      <c r="AE94" s="14"/>
    </row>
    <row r="95" spans="1:31" s="1" customFormat="1">
      <c r="A95" s="28"/>
      <c r="B95" s="129"/>
      <c r="C95" s="129"/>
      <c r="D95" s="28"/>
      <c r="E95" s="138"/>
      <c r="F95" s="129"/>
      <c r="G95" s="133"/>
      <c r="H95" s="134"/>
      <c r="I95" s="28"/>
      <c r="J95" s="135" t="s">
        <v>24</v>
      </c>
      <c r="K95" s="14"/>
      <c r="L95" s="19"/>
      <c r="M95" s="12"/>
      <c r="N95" s="14"/>
      <c r="O95" s="48"/>
      <c r="P95" s="31"/>
      <c r="Q95" s="31"/>
      <c r="R95" s="28"/>
      <c r="S95" s="43"/>
      <c r="T95" s="14"/>
      <c r="U95" s="14"/>
      <c r="V95" s="14"/>
      <c r="W95" s="14"/>
      <c r="X95" s="14"/>
      <c r="Y95" s="28"/>
      <c r="Z95" s="28"/>
      <c r="AA95" s="14"/>
      <c r="AB95" s="6"/>
      <c r="AC95" s="14"/>
      <c r="AD95" s="14"/>
      <c r="AE95" s="14"/>
    </row>
    <row r="96" spans="1:31" s="1" customFormat="1">
      <c r="A96" s="28"/>
      <c r="B96" s="129"/>
      <c r="C96" s="129"/>
      <c r="D96" s="28"/>
      <c r="E96" s="138"/>
      <c r="F96" s="129"/>
      <c r="G96" s="133"/>
      <c r="H96" s="134"/>
      <c r="I96" s="28"/>
      <c r="J96" s="267" t="s">
        <v>21</v>
      </c>
      <c r="K96" s="14"/>
      <c r="L96" s="19"/>
      <c r="M96" s="12"/>
      <c r="N96" s="14"/>
      <c r="O96" s="48"/>
      <c r="P96" s="31"/>
      <c r="Q96" s="31"/>
      <c r="R96" s="28"/>
      <c r="S96" s="43"/>
      <c r="T96" s="14"/>
      <c r="U96" s="14"/>
      <c r="V96" s="14"/>
      <c r="W96" s="14"/>
      <c r="X96" s="14"/>
      <c r="Y96" s="28"/>
      <c r="Z96" s="28"/>
      <c r="AA96" s="14"/>
      <c r="AB96" s="6"/>
      <c r="AC96" s="14"/>
      <c r="AD96" s="14"/>
      <c r="AE96" s="14"/>
    </row>
    <row r="97" spans="1:31" s="1" customFormat="1">
      <c r="A97" s="28"/>
      <c r="B97" s="129"/>
      <c r="C97" s="129"/>
      <c r="D97" s="28"/>
      <c r="E97" s="138"/>
      <c r="F97" s="129"/>
      <c r="G97" s="133"/>
      <c r="H97" s="134"/>
      <c r="I97" s="28"/>
      <c r="J97" s="267" t="s">
        <v>20</v>
      </c>
      <c r="K97" s="14"/>
      <c r="L97" s="19"/>
      <c r="M97" s="12"/>
      <c r="N97" s="14"/>
      <c r="O97" s="48"/>
      <c r="P97" s="31"/>
      <c r="Q97" s="31"/>
      <c r="R97" s="28"/>
      <c r="S97" s="43"/>
      <c r="T97" s="14"/>
      <c r="U97" s="14"/>
      <c r="V97" s="14"/>
      <c r="W97" s="14"/>
      <c r="X97" s="14"/>
      <c r="Y97" s="28"/>
      <c r="Z97" s="28"/>
      <c r="AA97" s="14"/>
      <c r="AB97" s="6"/>
      <c r="AC97" s="14"/>
      <c r="AD97" s="14"/>
      <c r="AE97" s="14"/>
    </row>
    <row r="98" spans="1:31" s="265" customFormat="1" ht="90">
      <c r="A98" s="267"/>
      <c r="B98" s="266" t="s">
        <v>877</v>
      </c>
      <c r="C98" s="266"/>
      <c r="D98" s="268"/>
      <c r="E98" s="365" t="s">
        <v>1243</v>
      </c>
      <c r="F98" s="266"/>
      <c r="G98" s="269"/>
      <c r="H98" s="269"/>
      <c r="I98" s="269">
        <f>I83+1</f>
        <v>14411</v>
      </c>
      <c r="L98" s="265" t="s">
        <v>22</v>
      </c>
      <c r="M98" s="270"/>
      <c r="O98" s="261" t="str">
        <f>E98</f>
        <v>هل تعرضت أسرتك لأي من هذه الصدمات/المشاكل التالية، خلال الـ12 شهر الماضية؟</v>
      </c>
      <c r="P98" s="261" t="str">
        <f>B98</f>
        <v>Has your household experienced any of these shocks in the last 12 months?</v>
      </c>
      <c r="Q98" s="266"/>
      <c r="R98" s="266"/>
      <c r="S98" s="428"/>
      <c r="T98" s="267"/>
      <c r="U98" s="267"/>
      <c r="V98" s="267"/>
      <c r="W98" s="267"/>
      <c r="X98" s="267"/>
      <c r="Y98" s="267"/>
    </row>
    <row r="99" spans="1:31" s="271" customFormat="1" ht="43.5">
      <c r="A99" s="48" t="str">
        <f t="shared" ref="A99:A115" si="20">N99</f>
        <v>q14411_1</v>
      </c>
      <c r="B99" s="276" t="s">
        <v>878</v>
      </c>
      <c r="C99" s="276"/>
      <c r="D99" s="268" t="str">
        <f>CONCATENATE(INDEX(choices!D:D,MATCH(M99,choices!A:A,0)),"
",IF(M99=INDEX(choices!A:A,MATCH(M99,choices!A:A,0)+1),INDEX(choices!D:D,MATCH(M99,choices!A:A,0)+1),""),IF(M99=INDEX(choices!A:A,MATCH(M99,choices!A:A,0)+1), "
",""),IF(M99=INDEX(choices!A:A,MATCH(M99,choices!A:A,0)+2),INDEX(choices!D:D,MATCH(M99,choices!A:A,0)+2),""),IF(M99=INDEX(choices!A:A,MATCH(M99,choices!A:A,0)+2), "
",""),IF(M99=INDEX(choices!A:A,MATCH(M99,choices!A:A,0)+3),INDEX(choices!D:D,MATCH(M99,choices!A:A,0)+3),""),IF(M99=INDEX(choices!A:A,MATCH(M99,choices!A:A,0)+3), "
",""),IF(M99=INDEX(choices!A:A,MATCH(M99,choices!A:A,0)+4),INDEX(choices!D:D,MATCH(M99,choices!A:A,0)+4),""),IF(M99=INDEX(choices!A:A,MATCH(M99,choices!A:A,0)+4), "
",""),IF(M99=INDEX(choices!A:A,MATCH(M99,choices!A:A,0)+5),INDEX(choices!D:D,MATCH(M99,choices!A:A,0)+5),""),IF(M99=INDEX(choices!A:A,MATCH(M99,choices!A:A,0)+5), "
",""),IF(M99=INDEX(choices!A:A,MATCH(M99,choices!A:A,0)+6),INDEX(choices!D:D,MATCH(M99,choices!A:A,0)+6),""),IF(M99=INDEX(choices!A:A,MATCH(M99,choices!A:A,0)+6), "
",""),IF(M99=INDEX(choices!A:A,MATCH(M99,choices!A:A,0)+7),INDEX(choices!D:D,MATCH(M99,choices!A:A,0)+7),""),IF(M99=INDEX(choices!A:A,MATCH(M99,choices!A:A,0)+7), "
",""),IF(M99=INDEX(choices!A:A,MATCH(M99,choices!A:A,0)+8),INDEX(choices!D:D,MATCH(M99,choices!A:A,0)+8),""),IF(M99=INDEX(choices!A:A,MATCH(M99,choices!A:A,0)+8), "
",""),IF(M99=INDEX(choices!A:A,MATCH(M99,choices!A:A,0)+9),INDEX(choices!D:D,MATCH(M99,choices!A:A,0)+9),""),IF(M99=INDEX(choices!A:A,MATCH(M99,choices!A:A,0)+9), "
",""),IF(M99=INDEX(choices!A:A,MATCH(M99,choices!A:A,0)+10),INDEX(choices!D:D,MATCH(M99,choices!A:A,0)+10),""),IF(M99=INDEX(choices!A:A,MATCH(M99,choices!A:A,0)+10), "
",""),IF(M99=INDEX(choices!A:A,MATCH(M99,choices!A:A,0)+11),INDEX(choices!D:D,MATCH(M99,choices!A:A,0)+11),""),IF(M99=INDEX(choices!A:A,MATCH(M99,choices!A:A,0)+11), "
",""),IF(M99=INDEX(choices!A:A,MATCH(M99,choices!A:A,0)+12),INDEX(choices!D:D,MATCH(M99,choices!A:A,0)+12),""),IF(M99=INDEX(choices!A:A,MATCH(M99,choices!A:A,0)+12), "
",""),IF(M99=INDEX(choices!A:A,MATCH(M99,choices!A:A,0)+13),INDEX(choices!D:D,MATCH(M99,choices!A:A,0)+13),""),IF(M99=INDEX(choices!A:A,MATCH(M99,choices!A:A,0)+13), "
",""),IF(M99=INDEX(choices!A:A,MATCH(M99,choices!A:A,0)+14),INDEX(choices!D:D,MATCH(M99,choices!A:A,0)+14),""),IF(M99=INDEX(choices!A:A,MATCH(M99,choices!A:A,0)+14), "
",""),IF(M99=INDEX(choices!A:A,MATCH(M99,choices!A:A,0)+15),INDEX(choices!D:D,MATCH(M99,choices!A:A,0)+15),""),IF(M99=INDEX(choices!A:A,MATCH(M99,choices!A:A,0)+15), "
",""),IF(M99=INDEX(choices!A:A,MATCH(M99,choices!A:A,0)+16),INDEX(choices!D:D,MATCH(M99,choices!A:A,0)+16),""),IF(M99=INDEX(choices!A:A,MATCH(M99,choices!A:A,0)+16), "
",""),IF(M99=INDEX(choices!A:A,MATCH(M99,choices!A:A,0)+17),INDEX(choices!D:D,MATCH(M99,choices!A:A,0)+17),""),IF(M99=INDEX(choices!A:A,MATCH(M99,choices!A:A,0)+17), "
",""),IF(M99=INDEX(choices!A:A,MATCH(M99,choices!A:A,0)+18),INDEX(choices!D:D,MATCH(M99,choices!A:A,0)+18),""),IF(M99=INDEX(choices!A:A,MATCH(M99,choices!A:A,0)+18), "
",""),IF(M99=INDEX(choices!A:A,MATCH(M99,choices!A:A,0)+19),INDEX(choices!D:D,MATCH(M99,choices!A:A,0)+19),""),IF(M99=INDEX(choices!A:A,MATCH(M99,choices!A:A,0)+19), "
",""),IF(M99=INDEX(choices!A:A,MATCH(M99,choices!A:A,0)+20),INDEX(choices!D:D,MATCH(M99,choices!A:A,0)+20),""),IF(M99=INDEX(choices!A:A,MATCH(M99,choices!A:A,0)+20), "
",""))</f>
        <v xml:space="preserve">1. Yes
2. No
</v>
      </c>
      <c r="E99" s="367" t="s">
        <v>1244</v>
      </c>
      <c r="F99" s="276"/>
      <c r="G99" s="273" t="str">
        <f>CONCATENATE(INDEX(choices!C:C,MATCH(M99,choices!A:A,0)),"
",IF(M99=INDEX(choices!A:A,MATCH(M99,choices!A:A,0)+1),INDEX(choices!C:C,MATCH(M99,choices!A:A,0)+1),""),IF(M99=INDEX(choices!A:A,MATCH(M99,choices!A:A,0)+1), "
",""),IF(M99=INDEX(choices!A:A,MATCH(M99,choices!A:A,0)+2),INDEX(choices!C:C,MATCH(M99,choices!A:A,0)+2),""),IF(M99=INDEX(choices!A:A,MATCH(M99,choices!A:A,0)+2), "
",""),IF(M99=INDEX(choices!A:A,MATCH(M99,choices!A:A,0)+3),INDEX(choices!C:C,MATCH(M99,choices!A:A,0)+3),""),IF(M99=INDEX(choices!A:A,MATCH(M99,choices!A:A,0)+3), "
",""),IF(M99=INDEX(choices!A:A,MATCH(M99,choices!A:A,0)+4),INDEX(choices!C:C,MATCH(M99,choices!A:A,0)+4),""),IF(M99=INDEX(choices!A:A,MATCH(M99,choices!A:A,0)+4), "
",""),IF(M99=INDEX(choices!A:A,MATCH(M99,choices!A:A,0)+5),INDEX(choices!C:C,MATCH(M99,choices!A:A,0)+5),""),IF(M99=INDEX(choices!A:A,MATCH(M99,choices!A:A,0)+5), "
",""),IF(M99=INDEX(choices!A:A,MATCH(M99,choices!A:A,0)+6),INDEX(choices!C:C,MATCH(M99,choices!A:A,0)+6),""),IF(M99=INDEX(choices!A:A,MATCH(M99,choices!A:A,0)+6), "
",""),IF(M99=INDEX(choices!A:A,MATCH(M99,choices!A:A,0)+7),INDEX(choices!C:C,MATCH(M99,choices!A:A,0)+7),""),IF(M99=INDEX(choices!A:A,MATCH(M99,choices!A:A,0)+7), "
",""),IF(M99=INDEX(choices!A:A,MATCH(M99,choices!A:A,0)+8),INDEX(choices!C:C,MATCH(M99,choices!A:A,0)+8),""),IF(M99=INDEX(choices!A:A,MATCH(M99,choices!A:A,0)+8), "
",""),IF(M99=INDEX(choices!A:A,MATCH(M99,choices!A:A,0)+9),INDEX(choices!C:C,MATCH(M99,choices!A:A,0)+9),""),IF(M99=INDEX(choices!A:A,MATCH(M99,choices!A:A,0)+9), "
",""),IF(M99=INDEX(choices!A:A,MATCH(M99,choices!A:A,0)+10),INDEX(choices!C:C,MATCH(M99,choices!A:A,0)+10),""),IF(M99=INDEX(choices!A:A,MATCH(M99,choices!A:A,0)+10), "
",""),IF(M99=INDEX(choices!A:A,MATCH(M99,choices!A:A,0)+11),INDEX(choices!C:C,MATCH(M99,choices!A:A,0)+11),""),IF(M99=INDEX(choices!A:A,MATCH(M99,choices!A:A,0)+11), "
",""),IF(M99=INDEX(choices!A:A,MATCH(M99,choices!A:A,0)+12),INDEX(choices!C:C,MATCH(M99,choices!A:A,0)+12),""),IF(M99=INDEX(choices!A:A,MATCH(M99,choices!A:A,0)+12), "
",""),IF(M99=INDEX(choices!A:A,MATCH(M99,choices!A:A,0)+13),INDEX(choices!C:C,MATCH(M99,choices!A:A,0)+13),""),IF(M99=INDEX(choices!A:A,MATCH(M99,choices!A:A,0)+13), "
",""),IF(M99=INDEX(choices!A:A,MATCH(M99,choices!A:A,0)+14),INDEX(choices!C:C,MATCH(M99,choices!A:A,0)+14),""),IF(M99=INDEX(choices!A:A,MATCH(M99,choices!A:A,0)+14), "
",""),IF(M99=INDEX(choices!A:A,MATCH(M99,choices!A:A,0)+15),INDEX(choices!C:C,MATCH(M99,choices!A:A,0)+15),""),IF(M99=INDEX(choices!A:A,MATCH(M99,choices!A:A,0)+15), "
",""),IF(M99=INDEX(choices!A:A,MATCH(M99,choices!A:A,0)+16),INDEX(choices!C:C,MATCH(M99,choices!A:A,0)+16),""),IF(M99=INDEX(choices!A:A,MATCH(M99,choices!A:A,0)+16), "
",""),IF(M99=INDEX(choices!A:A,MATCH(M99,choices!A:A,0)+17),INDEX(choices!C:C,MATCH(M99,choices!A:A,0)+17),""),IF(M99=INDEX(choices!A:A,MATCH(M99,choices!A:A,0)+17), "
",""),IF(M99=INDEX(choices!A:A,MATCH(M99,choices!A:A,0)+18),INDEX(choices!C:C,MATCH(M99,choices!A:A,0)+18),""),IF(M99=INDEX(choices!A:A,MATCH(M99,choices!A:A,0)+18), "
",""),IF(M99=INDEX(choices!A:A,MATCH(M99,choices!A:A,0)+19),INDEX(choices!C:C,MATCH(M99,choices!A:A,0)+19),""),IF(M99=INDEX(choices!A:A,MATCH(M99,choices!A:A,0)+19), "
",""),IF(M99=INDEX(choices!A:A,MATCH(M99,choices!A:A,0)+20),INDEX(choices!C:C,MATCH(M99,choices!A:A,0)+20),""),IF(M99=INDEX(choices!A:A,MATCH(M99,choices!A:A,0)+20), "
","")," ")</f>
        <v xml:space="preserve">1. نعم
2. لا
 </v>
      </c>
      <c r="H99" s="272">
        <v>1</v>
      </c>
      <c r="I99" s="274" t="str">
        <f t="shared" ref="I99:I115" si="21">CONCATENATE(I$98, "_",H99)</f>
        <v>14411_1</v>
      </c>
      <c r="K99" s="270"/>
      <c r="L99" s="267" t="s">
        <v>170</v>
      </c>
      <c r="M99" s="275" t="s">
        <v>17</v>
      </c>
      <c r="N99" s="271" t="str">
        <f t="shared" ref="N99:N115" si="22">CONCATENATE("q",I99)</f>
        <v>q14411_1</v>
      </c>
      <c r="O99" s="306" t="str">
        <f t="shared" ref="O99:O115" si="23">CONCATENATE(I99,". ",E99)</f>
        <v>14411_1. جفاف/نقص المياه</v>
      </c>
      <c r="P99" s="257" t="str">
        <f t="shared" ref="P99:P115" si="24">CONCATENATE(I99,". ",B99)</f>
        <v>14411_1. drought/water shortage</v>
      </c>
      <c r="Q99" s="272"/>
      <c r="R99" s="272"/>
      <c r="S99" s="427" t="str">
        <f t="shared" ref="S99:S115" si="25">CONCATENATE("data('valid_overall') ==1 ")</f>
        <v xml:space="preserve">data('valid_overall') ==1 </v>
      </c>
      <c r="T99" s="262"/>
      <c r="U99" s="262"/>
      <c r="V99" s="262"/>
      <c r="W99" s="262"/>
      <c r="X99" s="262"/>
      <c r="Y99" s="271" t="b">
        <v>1</v>
      </c>
    </row>
    <row r="100" spans="1:31" ht="39">
      <c r="A100" s="48" t="str">
        <f t="shared" si="20"/>
        <v>q14411_2</v>
      </c>
      <c r="B100" s="276" t="s">
        <v>879</v>
      </c>
      <c r="C100" s="276"/>
      <c r="D100" s="268" t="str">
        <f>CONCATENATE(INDEX(choices!D:D,MATCH(M100,choices!A:A,0)),"
",IF(M100=INDEX(choices!A:A,MATCH(M100,choices!A:A,0)+1),INDEX(choices!D:D,MATCH(M100,choices!A:A,0)+1),""),IF(M100=INDEX(choices!A:A,MATCH(M100,choices!A:A,0)+1), "
",""),IF(M100=INDEX(choices!A:A,MATCH(M100,choices!A:A,0)+2),INDEX(choices!D:D,MATCH(M100,choices!A:A,0)+2),""),IF(M100=INDEX(choices!A:A,MATCH(M100,choices!A:A,0)+2), "
",""),IF(M100=INDEX(choices!A:A,MATCH(M100,choices!A:A,0)+3),INDEX(choices!D:D,MATCH(M100,choices!A:A,0)+3),""),IF(M100=INDEX(choices!A:A,MATCH(M100,choices!A:A,0)+3), "
",""),IF(M100=INDEX(choices!A:A,MATCH(M100,choices!A:A,0)+4),INDEX(choices!D:D,MATCH(M100,choices!A:A,0)+4),""),IF(M100=INDEX(choices!A:A,MATCH(M100,choices!A:A,0)+4), "
",""),IF(M100=INDEX(choices!A:A,MATCH(M100,choices!A:A,0)+5),INDEX(choices!D:D,MATCH(M100,choices!A:A,0)+5),""),IF(M100=INDEX(choices!A:A,MATCH(M100,choices!A:A,0)+5), "
",""),IF(M100=INDEX(choices!A:A,MATCH(M100,choices!A:A,0)+6),INDEX(choices!D:D,MATCH(M100,choices!A:A,0)+6),""),IF(M100=INDEX(choices!A:A,MATCH(M100,choices!A:A,0)+6), "
",""),IF(M100=INDEX(choices!A:A,MATCH(M100,choices!A:A,0)+7),INDEX(choices!D:D,MATCH(M100,choices!A:A,0)+7),""),IF(M100=INDEX(choices!A:A,MATCH(M100,choices!A:A,0)+7), "
",""),IF(M100=INDEX(choices!A:A,MATCH(M100,choices!A:A,0)+8),INDEX(choices!D:D,MATCH(M100,choices!A:A,0)+8),""),IF(M100=INDEX(choices!A:A,MATCH(M100,choices!A:A,0)+8), "
",""),IF(M100=INDEX(choices!A:A,MATCH(M100,choices!A:A,0)+9),INDEX(choices!D:D,MATCH(M100,choices!A:A,0)+9),""),IF(M100=INDEX(choices!A:A,MATCH(M100,choices!A:A,0)+9), "
",""),IF(M100=INDEX(choices!A:A,MATCH(M100,choices!A:A,0)+10),INDEX(choices!D:D,MATCH(M100,choices!A:A,0)+10),""),IF(M100=INDEX(choices!A:A,MATCH(M100,choices!A:A,0)+10), "
",""),IF(M100=INDEX(choices!A:A,MATCH(M100,choices!A:A,0)+11),INDEX(choices!D:D,MATCH(M100,choices!A:A,0)+11),""),IF(M100=INDEX(choices!A:A,MATCH(M100,choices!A:A,0)+11), "
",""),IF(M100=INDEX(choices!A:A,MATCH(M100,choices!A:A,0)+12),INDEX(choices!D:D,MATCH(M100,choices!A:A,0)+12),""),IF(M100=INDEX(choices!A:A,MATCH(M100,choices!A:A,0)+12), "
",""),IF(M100=INDEX(choices!A:A,MATCH(M100,choices!A:A,0)+13),INDEX(choices!D:D,MATCH(M100,choices!A:A,0)+13),""),IF(M100=INDEX(choices!A:A,MATCH(M100,choices!A:A,0)+13), "
",""),IF(M100=INDEX(choices!A:A,MATCH(M100,choices!A:A,0)+14),INDEX(choices!D:D,MATCH(M100,choices!A:A,0)+14),""),IF(M100=INDEX(choices!A:A,MATCH(M100,choices!A:A,0)+14), "
",""),IF(M100=INDEX(choices!A:A,MATCH(M100,choices!A:A,0)+15),INDEX(choices!D:D,MATCH(M100,choices!A:A,0)+15),""),IF(M100=INDEX(choices!A:A,MATCH(M100,choices!A:A,0)+15), "
",""),IF(M100=INDEX(choices!A:A,MATCH(M100,choices!A:A,0)+16),INDEX(choices!D:D,MATCH(M100,choices!A:A,0)+16),""),IF(M100=INDEX(choices!A:A,MATCH(M100,choices!A:A,0)+16), "
",""),IF(M100=INDEX(choices!A:A,MATCH(M100,choices!A:A,0)+17),INDEX(choices!D:D,MATCH(M100,choices!A:A,0)+17),""),IF(M100=INDEX(choices!A:A,MATCH(M100,choices!A:A,0)+17), "
",""),IF(M100=INDEX(choices!A:A,MATCH(M100,choices!A:A,0)+18),INDEX(choices!D:D,MATCH(M100,choices!A:A,0)+18),""),IF(M100=INDEX(choices!A:A,MATCH(M100,choices!A:A,0)+18), "
",""),IF(M100=INDEX(choices!A:A,MATCH(M100,choices!A:A,0)+19),INDEX(choices!D:D,MATCH(M100,choices!A:A,0)+19),""),IF(M100=INDEX(choices!A:A,MATCH(M100,choices!A:A,0)+19), "
",""),IF(M100=INDEX(choices!A:A,MATCH(M100,choices!A:A,0)+20),INDEX(choices!D:D,MATCH(M100,choices!A:A,0)+20),""),IF(M100=INDEX(choices!A:A,MATCH(M100,choices!A:A,0)+20), "
",""))</f>
        <v xml:space="preserve">1. Yes
2. No
</v>
      </c>
      <c r="E100" s="367" t="s">
        <v>1245</v>
      </c>
      <c r="F100" s="276"/>
      <c r="G100" s="273" t="str">
        <f>CONCATENATE(INDEX(choices!C:C,MATCH(M100,choices!A:A,0)),"
",IF(M100=INDEX(choices!A:A,MATCH(M100,choices!A:A,0)+1),INDEX(choices!C:C,MATCH(M100,choices!A:A,0)+1),""),IF(M100=INDEX(choices!A:A,MATCH(M100,choices!A:A,0)+1), "
",""),IF(M100=INDEX(choices!A:A,MATCH(M100,choices!A:A,0)+2),INDEX(choices!C:C,MATCH(M100,choices!A:A,0)+2),""),IF(M100=INDEX(choices!A:A,MATCH(M100,choices!A:A,0)+2), "
",""),IF(M100=INDEX(choices!A:A,MATCH(M100,choices!A:A,0)+3),INDEX(choices!C:C,MATCH(M100,choices!A:A,0)+3),""),IF(M100=INDEX(choices!A:A,MATCH(M100,choices!A:A,0)+3), "
",""),IF(M100=INDEX(choices!A:A,MATCH(M100,choices!A:A,0)+4),INDEX(choices!C:C,MATCH(M100,choices!A:A,0)+4),""),IF(M100=INDEX(choices!A:A,MATCH(M100,choices!A:A,0)+4), "
",""),IF(M100=INDEX(choices!A:A,MATCH(M100,choices!A:A,0)+5),INDEX(choices!C:C,MATCH(M100,choices!A:A,0)+5),""),IF(M100=INDEX(choices!A:A,MATCH(M100,choices!A:A,0)+5), "
",""),IF(M100=INDEX(choices!A:A,MATCH(M100,choices!A:A,0)+6),INDEX(choices!C:C,MATCH(M100,choices!A:A,0)+6),""),IF(M100=INDEX(choices!A:A,MATCH(M100,choices!A:A,0)+6), "
",""),IF(M100=INDEX(choices!A:A,MATCH(M100,choices!A:A,0)+7),INDEX(choices!C:C,MATCH(M100,choices!A:A,0)+7),""),IF(M100=INDEX(choices!A:A,MATCH(M100,choices!A:A,0)+7), "
",""),IF(M100=INDEX(choices!A:A,MATCH(M100,choices!A:A,0)+8),INDEX(choices!C:C,MATCH(M100,choices!A:A,0)+8),""),IF(M100=INDEX(choices!A:A,MATCH(M100,choices!A:A,0)+8), "
",""),IF(M100=INDEX(choices!A:A,MATCH(M100,choices!A:A,0)+9),INDEX(choices!C:C,MATCH(M100,choices!A:A,0)+9),""),IF(M100=INDEX(choices!A:A,MATCH(M100,choices!A:A,0)+9), "
",""),IF(M100=INDEX(choices!A:A,MATCH(M100,choices!A:A,0)+10),INDEX(choices!C:C,MATCH(M100,choices!A:A,0)+10),""),IF(M100=INDEX(choices!A:A,MATCH(M100,choices!A:A,0)+10), "
",""),IF(M100=INDEX(choices!A:A,MATCH(M100,choices!A:A,0)+11),INDEX(choices!C:C,MATCH(M100,choices!A:A,0)+11),""),IF(M100=INDEX(choices!A:A,MATCH(M100,choices!A:A,0)+11), "
",""),IF(M100=INDEX(choices!A:A,MATCH(M100,choices!A:A,0)+12),INDEX(choices!C:C,MATCH(M100,choices!A:A,0)+12),""),IF(M100=INDEX(choices!A:A,MATCH(M100,choices!A:A,0)+12), "
",""),IF(M100=INDEX(choices!A:A,MATCH(M100,choices!A:A,0)+13),INDEX(choices!C:C,MATCH(M100,choices!A:A,0)+13),""),IF(M100=INDEX(choices!A:A,MATCH(M100,choices!A:A,0)+13), "
",""),IF(M100=INDEX(choices!A:A,MATCH(M100,choices!A:A,0)+14),INDEX(choices!C:C,MATCH(M100,choices!A:A,0)+14),""),IF(M100=INDEX(choices!A:A,MATCH(M100,choices!A:A,0)+14), "
",""),IF(M100=INDEX(choices!A:A,MATCH(M100,choices!A:A,0)+15),INDEX(choices!C:C,MATCH(M100,choices!A:A,0)+15),""),IF(M100=INDEX(choices!A:A,MATCH(M100,choices!A:A,0)+15), "
",""),IF(M100=INDEX(choices!A:A,MATCH(M100,choices!A:A,0)+16),INDEX(choices!C:C,MATCH(M100,choices!A:A,0)+16),""),IF(M100=INDEX(choices!A:A,MATCH(M100,choices!A:A,0)+16), "
",""),IF(M100=INDEX(choices!A:A,MATCH(M100,choices!A:A,0)+17),INDEX(choices!C:C,MATCH(M100,choices!A:A,0)+17),""),IF(M100=INDEX(choices!A:A,MATCH(M100,choices!A:A,0)+17), "
",""),IF(M100=INDEX(choices!A:A,MATCH(M100,choices!A:A,0)+18),INDEX(choices!C:C,MATCH(M100,choices!A:A,0)+18),""),IF(M100=INDEX(choices!A:A,MATCH(M100,choices!A:A,0)+18), "
",""),IF(M100=INDEX(choices!A:A,MATCH(M100,choices!A:A,0)+19),INDEX(choices!C:C,MATCH(M100,choices!A:A,0)+19),""),IF(M100=INDEX(choices!A:A,MATCH(M100,choices!A:A,0)+19), "
",""),IF(M100=INDEX(choices!A:A,MATCH(M100,choices!A:A,0)+20),INDEX(choices!C:C,MATCH(M100,choices!A:A,0)+20),""),IF(M100=INDEX(choices!A:A,MATCH(M100,choices!A:A,0)+20), "
","")," ")</f>
        <v xml:space="preserve">1. نعم
2. لا
 </v>
      </c>
      <c r="H100">
        <f t="shared" ref="H100:H115" si="26">H99+1</f>
        <v>2</v>
      </c>
      <c r="I100" s="274" t="str">
        <f t="shared" si="21"/>
        <v>14411_2</v>
      </c>
      <c r="L100" s="267" t="s">
        <v>170</v>
      </c>
      <c r="M100" s="275" t="s">
        <v>17</v>
      </c>
      <c r="N100" s="271" t="str">
        <f t="shared" si="22"/>
        <v>q14411_2</v>
      </c>
      <c r="O100" s="306" t="str">
        <f t="shared" si="23"/>
        <v>14411_2. فيضانات عادية</v>
      </c>
      <c r="P100" s="257" t="str">
        <f t="shared" si="24"/>
        <v>14411_2. regular floods</v>
      </c>
      <c r="Q100" s="272"/>
      <c r="R100" s="272"/>
      <c r="S100" s="427" t="str">
        <f t="shared" si="25"/>
        <v xml:space="preserve">data('valid_overall') ==1 </v>
      </c>
      <c r="T100" s="262"/>
      <c r="U100" s="262"/>
      <c r="V100" s="262"/>
      <c r="W100" s="262"/>
      <c r="X100" s="262"/>
      <c r="Y100" s="271" t="b">
        <v>1</v>
      </c>
    </row>
    <row r="101" spans="1:31" ht="39">
      <c r="A101" s="48" t="str">
        <f t="shared" si="20"/>
        <v>q14411_3</v>
      </c>
      <c r="B101" s="276" t="s">
        <v>880</v>
      </c>
      <c r="C101" s="276"/>
      <c r="D101" s="268" t="str">
        <f>CONCATENATE(INDEX(choices!D:D,MATCH(M101,choices!A:A,0)),"
",IF(M101=INDEX(choices!A:A,MATCH(M101,choices!A:A,0)+1),INDEX(choices!D:D,MATCH(M101,choices!A:A,0)+1),""),IF(M101=INDEX(choices!A:A,MATCH(M101,choices!A:A,0)+1), "
",""),IF(M101=INDEX(choices!A:A,MATCH(M101,choices!A:A,0)+2),INDEX(choices!D:D,MATCH(M101,choices!A:A,0)+2),""),IF(M101=INDEX(choices!A:A,MATCH(M101,choices!A:A,0)+2), "
",""),IF(M101=INDEX(choices!A:A,MATCH(M101,choices!A:A,0)+3),INDEX(choices!D:D,MATCH(M101,choices!A:A,0)+3),""),IF(M101=INDEX(choices!A:A,MATCH(M101,choices!A:A,0)+3), "
",""),IF(M101=INDEX(choices!A:A,MATCH(M101,choices!A:A,0)+4),INDEX(choices!D:D,MATCH(M101,choices!A:A,0)+4),""),IF(M101=INDEX(choices!A:A,MATCH(M101,choices!A:A,0)+4), "
",""),IF(M101=INDEX(choices!A:A,MATCH(M101,choices!A:A,0)+5),INDEX(choices!D:D,MATCH(M101,choices!A:A,0)+5),""),IF(M101=INDEX(choices!A:A,MATCH(M101,choices!A:A,0)+5), "
",""),IF(M101=INDEX(choices!A:A,MATCH(M101,choices!A:A,0)+6),INDEX(choices!D:D,MATCH(M101,choices!A:A,0)+6),""),IF(M101=INDEX(choices!A:A,MATCH(M101,choices!A:A,0)+6), "
",""),IF(M101=INDEX(choices!A:A,MATCH(M101,choices!A:A,0)+7),INDEX(choices!D:D,MATCH(M101,choices!A:A,0)+7),""),IF(M101=INDEX(choices!A:A,MATCH(M101,choices!A:A,0)+7), "
",""),IF(M101=INDEX(choices!A:A,MATCH(M101,choices!A:A,0)+8),INDEX(choices!D:D,MATCH(M101,choices!A:A,0)+8),""),IF(M101=INDEX(choices!A:A,MATCH(M101,choices!A:A,0)+8), "
",""),IF(M101=INDEX(choices!A:A,MATCH(M101,choices!A:A,0)+9),INDEX(choices!D:D,MATCH(M101,choices!A:A,0)+9),""),IF(M101=INDEX(choices!A:A,MATCH(M101,choices!A:A,0)+9), "
",""),IF(M101=INDEX(choices!A:A,MATCH(M101,choices!A:A,0)+10),INDEX(choices!D:D,MATCH(M101,choices!A:A,0)+10),""),IF(M101=INDEX(choices!A:A,MATCH(M101,choices!A:A,0)+10), "
",""),IF(M101=INDEX(choices!A:A,MATCH(M101,choices!A:A,0)+11),INDEX(choices!D:D,MATCH(M101,choices!A:A,0)+11),""),IF(M101=INDEX(choices!A:A,MATCH(M101,choices!A:A,0)+11), "
",""),IF(M101=INDEX(choices!A:A,MATCH(M101,choices!A:A,0)+12),INDEX(choices!D:D,MATCH(M101,choices!A:A,0)+12),""),IF(M101=INDEX(choices!A:A,MATCH(M101,choices!A:A,0)+12), "
",""),IF(M101=INDEX(choices!A:A,MATCH(M101,choices!A:A,0)+13),INDEX(choices!D:D,MATCH(M101,choices!A:A,0)+13),""),IF(M101=INDEX(choices!A:A,MATCH(M101,choices!A:A,0)+13), "
",""),IF(M101=INDEX(choices!A:A,MATCH(M101,choices!A:A,0)+14),INDEX(choices!D:D,MATCH(M101,choices!A:A,0)+14),""),IF(M101=INDEX(choices!A:A,MATCH(M101,choices!A:A,0)+14), "
",""),IF(M101=INDEX(choices!A:A,MATCH(M101,choices!A:A,0)+15),INDEX(choices!D:D,MATCH(M101,choices!A:A,0)+15),""),IF(M101=INDEX(choices!A:A,MATCH(M101,choices!A:A,0)+15), "
",""),IF(M101=INDEX(choices!A:A,MATCH(M101,choices!A:A,0)+16),INDEX(choices!D:D,MATCH(M101,choices!A:A,0)+16),""),IF(M101=INDEX(choices!A:A,MATCH(M101,choices!A:A,0)+16), "
",""),IF(M101=INDEX(choices!A:A,MATCH(M101,choices!A:A,0)+17),INDEX(choices!D:D,MATCH(M101,choices!A:A,0)+17),""),IF(M101=INDEX(choices!A:A,MATCH(M101,choices!A:A,0)+17), "
",""),IF(M101=INDEX(choices!A:A,MATCH(M101,choices!A:A,0)+18),INDEX(choices!D:D,MATCH(M101,choices!A:A,0)+18),""),IF(M101=INDEX(choices!A:A,MATCH(M101,choices!A:A,0)+18), "
",""),IF(M101=INDEX(choices!A:A,MATCH(M101,choices!A:A,0)+19),INDEX(choices!D:D,MATCH(M101,choices!A:A,0)+19),""),IF(M101=INDEX(choices!A:A,MATCH(M101,choices!A:A,0)+19), "
",""),IF(M101=INDEX(choices!A:A,MATCH(M101,choices!A:A,0)+20),INDEX(choices!D:D,MATCH(M101,choices!A:A,0)+20),""),IF(M101=INDEX(choices!A:A,MATCH(M101,choices!A:A,0)+20), "
",""))</f>
        <v xml:space="preserve">1. Yes
2. No
</v>
      </c>
      <c r="E101" s="367" t="s">
        <v>1246</v>
      </c>
      <c r="F101" s="276"/>
      <c r="G101" s="273" t="str">
        <f>CONCATENATE(INDEX(choices!C:C,MATCH(M101,choices!A:A,0)),"
",IF(M101=INDEX(choices!A:A,MATCH(M101,choices!A:A,0)+1),INDEX(choices!C:C,MATCH(M101,choices!A:A,0)+1),""),IF(M101=INDEX(choices!A:A,MATCH(M101,choices!A:A,0)+1), "
",""),IF(M101=INDEX(choices!A:A,MATCH(M101,choices!A:A,0)+2),INDEX(choices!C:C,MATCH(M101,choices!A:A,0)+2),""),IF(M101=INDEX(choices!A:A,MATCH(M101,choices!A:A,0)+2), "
",""),IF(M101=INDEX(choices!A:A,MATCH(M101,choices!A:A,0)+3),INDEX(choices!C:C,MATCH(M101,choices!A:A,0)+3),""),IF(M101=INDEX(choices!A:A,MATCH(M101,choices!A:A,0)+3), "
",""),IF(M101=INDEX(choices!A:A,MATCH(M101,choices!A:A,0)+4),INDEX(choices!C:C,MATCH(M101,choices!A:A,0)+4),""),IF(M101=INDEX(choices!A:A,MATCH(M101,choices!A:A,0)+4), "
",""),IF(M101=INDEX(choices!A:A,MATCH(M101,choices!A:A,0)+5),INDEX(choices!C:C,MATCH(M101,choices!A:A,0)+5),""),IF(M101=INDEX(choices!A:A,MATCH(M101,choices!A:A,0)+5), "
",""),IF(M101=INDEX(choices!A:A,MATCH(M101,choices!A:A,0)+6),INDEX(choices!C:C,MATCH(M101,choices!A:A,0)+6),""),IF(M101=INDEX(choices!A:A,MATCH(M101,choices!A:A,0)+6), "
",""),IF(M101=INDEX(choices!A:A,MATCH(M101,choices!A:A,0)+7),INDEX(choices!C:C,MATCH(M101,choices!A:A,0)+7),""),IF(M101=INDEX(choices!A:A,MATCH(M101,choices!A:A,0)+7), "
",""),IF(M101=INDEX(choices!A:A,MATCH(M101,choices!A:A,0)+8),INDEX(choices!C:C,MATCH(M101,choices!A:A,0)+8),""),IF(M101=INDEX(choices!A:A,MATCH(M101,choices!A:A,0)+8), "
",""),IF(M101=INDEX(choices!A:A,MATCH(M101,choices!A:A,0)+9),INDEX(choices!C:C,MATCH(M101,choices!A:A,0)+9),""),IF(M101=INDEX(choices!A:A,MATCH(M101,choices!A:A,0)+9), "
",""),IF(M101=INDEX(choices!A:A,MATCH(M101,choices!A:A,0)+10),INDEX(choices!C:C,MATCH(M101,choices!A:A,0)+10),""),IF(M101=INDEX(choices!A:A,MATCH(M101,choices!A:A,0)+10), "
",""),IF(M101=INDEX(choices!A:A,MATCH(M101,choices!A:A,0)+11),INDEX(choices!C:C,MATCH(M101,choices!A:A,0)+11),""),IF(M101=INDEX(choices!A:A,MATCH(M101,choices!A:A,0)+11), "
",""),IF(M101=INDEX(choices!A:A,MATCH(M101,choices!A:A,0)+12),INDEX(choices!C:C,MATCH(M101,choices!A:A,0)+12),""),IF(M101=INDEX(choices!A:A,MATCH(M101,choices!A:A,0)+12), "
",""),IF(M101=INDEX(choices!A:A,MATCH(M101,choices!A:A,0)+13),INDEX(choices!C:C,MATCH(M101,choices!A:A,0)+13),""),IF(M101=INDEX(choices!A:A,MATCH(M101,choices!A:A,0)+13), "
",""),IF(M101=INDEX(choices!A:A,MATCH(M101,choices!A:A,0)+14),INDEX(choices!C:C,MATCH(M101,choices!A:A,0)+14),""),IF(M101=INDEX(choices!A:A,MATCH(M101,choices!A:A,0)+14), "
",""),IF(M101=INDEX(choices!A:A,MATCH(M101,choices!A:A,0)+15),INDEX(choices!C:C,MATCH(M101,choices!A:A,0)+15),""),IF(M101=INDEX(choices!A:A,MATCH(M101,choices!A:A,0)+15), "
",""),IF(M101=INDEX(choices!A:A,MATCH(M101,choices!A:A,0)+16),INDEX(choices!C:C,MATCH(M101,choices!A:A,0)+16),""),IF(M101=INDEX(choices!A:A,MATCH(M101,choices!A:A,0)+16), "
",""),IF(M101=INDEX(choices!A:A,MATCH(M101,choices!A:A,0)+17),INDEX(choices!C:C,MATCH(M101,choices!A:A,0)+17),""),IF(M101=INDEX(choices!A:A,MATCH(M101,choices!A:A,0)+17), "
",""),IF(M101=INDEX(choices!A:A,MATCH(M101,choices!A:A,0)+18),INDEX(choices!C:C,MATCH(M101,choices!A:A,0)+18),""),IF(M101=INDEX(choices!A:A,MATCH(M101,choices!A:A,0)+18), "
",""),IF(M101=INDEX(choices!A:A,MATCH(M101,choices!A:A,0)+19),INDEX(choices!C:C,MATCH(M101,choices!A:A,0)+19),""),IF(M101=INDEX(choices!A:A,MATCH(M101,choices!A:A,0)+19), "
",""),IF(M101=INDEX(choices!A:A,MATCH(M101,choices!A:A,0)+20),INDEX(choices!C:C,MATCH(M101,choices!A:A,0)+20),""),IF(M101=INDEX(choices!A:A,MATCH(M101,choices!A:A,0)+20), "
","")," ")</f>
        <v xml:space="preserve">1. نعم
2. لا
 </v>
      </c>
      <c r="H101">
        <f t="shared" si="26"/>
        <v>3</v>
      </c>
      <c r="I101" s="274" t="str">
        <f t="shared" si="21"/>
        <v>14411_3</v>
      </c>
      <c r="L101" s="267" t="s">
        <v>170</v>
      </c>
      <c r="M101" s="275" t="s">
        <v>17</v>
      </c>
      <c r="N101" s="271" t="str">
        <f t="shared" si="22"/>
        <v>q14411_3</v>
      </c>
      <c r="O101" s="306" t="str">
        <f t="shared" si="23"/>
        <v>14411_3. سيول</v>
      </c>
      <c r="P101" s="257" t="str">
        <f t="shared" si="24"/>
        <v>14411_3. flash floods</v>
      </c>
      <c r="Q101" s="272"/>
      <c r="R101" s="272"/>
      <c r="S101" s="427" t="str">
        <f t="shared" si="25"/>
        <v xml:space="preserve">data('valid_overall') ==1 </v>
      </c>
      <c r="T101" s="262"/>
      <c r="U101" s="262"/>
      <c r="V101" s="262"/>
      <c r="W101" s="262"/>
      <c r="X101" s="262"/>
      <c r="Y101" s="271" t="b">
        <v>1</v>
      </c>
    </row>
    <row r="102" spans="1:31" ht="39">
      <c r="A102" s="48" t="str">
        <f t="shared" si="20"/>
        <v>q14411_4</v>
      </c>
      <c r="B102" s="276" t="s">
        <v>881</v>
      </c>
      <c r="C102" s="276"/>
      <c r="D102" s="268" t="str">
        <f>CONCATENATE(INDEX(choices!D:D,MATCH(M102,choices!A:A,0)),"
",IF(M102=INDEX(choices!A:A,MATCH(M102,choices!A:A,0)+1),INDEX(choices!D:D,MATCH(M102,choices!A:A,0)+1),""),IF(M102=INDEX(choices!A:A,MATCH(M102,choices!A:A,0)+1), "
",""),IF(M102=INDEX(choices!A:A,MATCH(M102,choices!A:A,0)+2),INDEX(choices!D:D,MATCH(M102,choices!A:A,0)+2),""),IF(M102=INDEX(choices!A:A,MATCH(M102,choices!A:A,0)+2), "
",""),IF(M102=INDEX(choices!A:A,MATCH(M102,choices!A:A,0)+3),INDEX(choices!D:D,MATCH(M102,choices!A:A,0)+3),""),IF(M102=INDEX(choices!A:A,MATCH(M102,choices!A:A,0)+3), "
",""),IF(M102=INDEX(choices!A:A,MATCH(M102,choices!A:A,0)+4),INDEX(choices!D:D,MATCH(M102,choices!A:A,0)+4),""),IF(M102=INDEX(choices!A:A,MATCH(M102,choices!A:A,0)+4), "
",""),IF(M102=INDEX(choices!A:A,MATCH(M102,choices!A:A,0)+5),INDEX(choices!D:D,MATCH(M102,choices!A:A,0)+5),""),IF(M102=INDEX(choices!A:A,MATCH(M102,choices!A:A,0)+5), "
",""),IF(M102=INDEX(choices!A:A,MATCH(M102,choices!A:A,0)+6),INDEX(choices!D:D,MATCH(M102,choices!A:A,0)+6),""),IF(M102=INDEX(choices!A:A,MATCH(M102,choices!A:A,0)+6), "
",""),IF(M102=INDEX(choices!A:A,MATCH(M102,choices!A:A,0)+7),INDEX(choices!D:D,MATCH(M102,choices!A:A,0)+7),""),IF(M102=INDEX(choices!A:A,MATCH(M102,choices!A:A,0)+7), "
",""),IF(M102=INDEX(choices!A:A,MATCH(M102,choices!A:A,0)+8),INDEX(choices!D:D,MATCH(M102,choices!A:A,0)+8),""),IF(M102=INDEX(choices!A:A,MATCH(M102,choices!A:A,0)+8), "
",""),IF(M102=INDEX(choices!A:A,MATCH(M102,choices!A:A,0)+9),INDEX(choices!D:D,MATCH(M102,choices!A:A,0)+9),""),IF(M102=INDEX(choices!A:A,MATCH(M102,choices!A:A,0)+9), "
",""),IF(M102=INDEX(choices!A:A,MATCH(M102,choices!A:A,0)+10),INDEX(choices!D:D,MATCH(M102,choices!A:A,0)+10),""),IF(M102=INDEX(choices!A:A,MATCH(M102,choices!A:A,0)+10), "
",""),IF(M102=INDEX(choices!A:A,MATCH(M102,choices!A:A,0)+11),INDEX(choices!D:D,MATCH(M102,choices!A:A,0)+11),""),IF(M102=INDEX(choices!A:A,MATCH(M102,choices!A:A,0)+11), "
",""),IF(M102=INDEX(choices!A:A,MATCH(M102,choices!A:A,0)+12),INDEX(choices!D:D,MATCH(M102,choices!A:A,0)+12),""),IF(M102=INDEX(choices!A:A,MATCH(M102,choices!A:A,0)+12), "
",""),IF(M102=INDEX(choices!A:A,MATCH(M102,choices!A:A,0)+13),INDEX(choices!D:D,MATCH(M102,choices!A:A,0)+13),""),IF(M102=INDEX(choices!A:A,MATCH(M102,choices!A:A,0)+13), "
",""),IF(M102=INDEX(choices!A:A,MATCH(M102,choices!A:A,0)+14),INDEX(choices!D:D,MATCH(M102,choices!A:A,0)+14),""),IF(M102=INDEX(choices!A:A,MATCH(M102,choices!A:A,0)+14), "
",""),IF(M102=INDEX(choices!A:A,MATCH(M102,choices!A:A,0)+15),INDEX(choices!D:D,MATCH(M102,choices!A:A,0)+15),""),IF(M102=INDEX(choices!A:A,MATCH(M102,choices!A:A,0)+15), "
",""),IF(M102=INDEX(choices!A:A,MATCH(M102,choices!A:A,0)+16),INDEX(choices!D:D,MATCH(M102,choices!A:A,0)+16),""),IF(M102=INDEX(choices!A:A,MATCH(M102,choices!A:A,0)+16), "
",""),IF(M102=INDEX(choices!A:A,MATCH(M102,choices!A:A,0)+17),INDEX(choices!D:D,MATCH(M102,choices!A:A,0)+17),""),IF(M102=INDEX(choices!A:A,MATCH(M102,choices!A:A,0)+17), "
",""),IF(M102=INDEX(choices!A:A,MATCH(M102,choices!A:A,0)+18),INDEX(choices!D:D,MATCH(M102,choices!A:A,0)+18),""),IF(M102=INDEX(choices!A:A,MATCH(M102,choices!A:A,0)+18), "
",""),IF(M102=INDEX(choices!A:A,MATCH(M102,choices!A:A,0)+19),INDEX(choices!D:D,MATCH(M102,choices!A:A,0)+19),""),IF(M102=INDEX(choices!A:A,MATCH(M102,choices!A:A,0)+19), "
",""),IF(M102=INDEX(choices!A:A,MATCH(M102,choices!A:A,0)+20),INDEX(choices!D:D,MATCH(M102,choices!A:A,0)+20),""),IF(M102=INDEX(choices!A:A,MATCH(M102,choices!A:A,0)+20), "
",""))</f>
        <v xml:space="preserve">1. Yes
2. No
</v>
      </c>
      <c r="E102" s="367" t="s">
        <v>1247</v>
      </c>
      <c r="F102" s="276"/>
      <c r="G102" s="273" t="str">
        <f>CONCATENATE(INDEX(choices!C:C,MATCH(M102,choices!A:A,0)),"
",IF(M102=INDEX(choices!A:A,MATCH(M102,choices!A:A,0)+1),INDEX(choices!C:C,MATCH(M102,choices!A:A,0)+1),""),IF(M102=INDEX(choices!A:A,MATCH(M102,choices!A:A,0)+1), "
",""),IF(M102=INDEX(choices!A:A,MATCH(M102,choices!A:A,0)+2),INDEX(choices!C:C,MATCH(M102,choices!A:A,0)+2),""),IF(M102=INDEX(choices!A:A,MATCH(M102,choices!A:A,0)+2), "
",""),IF(M102=INDEX(choices!A:A,MATCH(M102,choices!A:A,0)+3),INDEX(choices!C:C,MATCH(M102,choices!A:A,0)+3),""),IF(M102=INDEX(choices!A:A,MATCH(M102,choices!A:A,0)+3), "
",""),IF(M102=INDEX(choices!A:A,MATCH(M102,choices!A:A,0)+4),INDEX(choices!C:C,MATCH(M102,choices!A:A,0)+4),""),IF(M102=INDEX(choices!A:A,MATCH(M102,choices!A:A,0)+4), "
",""),IF(M102=INDEX(choices!A:A,MATCH(M102,choices!A:A,0)+5),INDEX(choices!C:C,MATCH(M102,choices!A:A,0)+5),""),IF(M102=INDEX(choices!A:A,MATCH(M102,choices!A:A,0)+5), "
",""),IF(M102=INDEX(choices!A:A,MATCH(M102,choices!A:A,0)+6),INDEX(choices!C:C,MATCH(M102,choices!A:A,0)+6),""),IF(M102=INDEX(choices!A:A,MATCH(M102,choices!A:A,0)+6), "
",""),IF(M102=INDEX(choices!A:A,MATCH(M102,choices!A:A,0)+7),INDEX(choices!C:C,MATCH(M102,choices!A:A,0)+7),""),IF(M102=INDEX(choices!A:A,MATCH(M102,choices!A:A,0)+7), "
",""),IF(M102=INDEX(choices!A:A,MATCH(M102,choices!A:A,0)+8),INDEX(choices!C:C,MATCH(M102,choices!A:A,0)+8),""),IF(M102=INDEX(choices!A:A,MATCH(M102,choices!A:A,0)+8), "
",""),IF(M102=INDEX(choices!A:A,MATCH(M102,choices!A:A,0)+9),INDEX(choices!C:C,MATCH(M102,choices!A:A,0)+9),""),IF(M102=INDEX(choices!A:A,MATCH(M102,choices!A:A,0)+9), "
",""),IF(M102=INDEX(choices!A:A,MATCH(M102,choices!A:A,0)+10),INDEX(choices!C:C,MATCH(M102,choices!A:A,0)+10),""),IF(M102=INDEX(choices!A:A,MATCH(M102,choices!A:A,0)+10), "
",""),IF(M102=INDEX(choices!A:A,MATCH(M102,choices!A:A,0)+11),INDEX(choices!C:C,MATCH(M102,choices!A:A,0)+11),""),IF(M102=INDEX(choices!A:A,MATCH(M102,choices!A:A,0)+11), "
",""),IF(M102=INDEX(choices!A:A,MATCH(M102,choices!A:A,0)+12),INDEX(choices!C:C,MATCH(M102,choices!A:A,0)+12),""),IF(M102=INDEX(choices!A:A,MATCH(M102,choices!A:A,0)+12), "
",""),IF(M102=INDEX(choices!A:A,MATCH(M102,choices!A:A,0)+13),INDEX(choices!C:C,MATCH(M102,choices!A:A,0)+13),""),IF(M102=INDEX(choices!A:A,MATCH(M102,choices!A:A,0)+13), "
",""),IF(M102=INDEX(choices!A:A,MATCH(M102,choices!A:A,0)+14),INDEX(choices!C:C,MATCH(M102,choices!A:A,0)+14),""),IF(M102=INDEX(choices!A:A,MATCH(M102,choices!A:A,0)+14), "
",""),IF(M102=INDEX(choices!A:A,MATCH(M102,choices!A:A,0)+15),INDEX(choices!C:C,MATCH(M102,choices!A:A,0)+15),""),IF(M102=INDEX(choices!A:A,MATCH(M102,choices!A:A,0)+15), "
",""),IF(M102=INDEX(choices!A:A,MATCH(M102,choices!A:A,0)+16),INDEX(choices!C:C,MATCH(M102,choices!A:A,0)+16),""),IF(M102=INDEX(choices!A:A,MATCH(M102,choices!A:A,0)+16), "
",""),IF(M102=INDEX(choices!A:A,MATCH(M102,choices!A:A,0)+17),INDEX(choices!C:C,MATCH(M102,choices!A:A,0)+17),""),IF(M102=INDEX(choices!A:A,MATCH(M102,choices!A:A,0)+17), "
",""),IF(M102=INDEX(choices!A:A,MATCH(M102,choices!A:A,0)+18),INDEX(choices!C:C,MATCH(M102,choices!A:A,0)+18),""),IF(M102=INDEX(choices!A:A,MATCH(M102,choices!A:A,0)+18), "
",""),IF(M102=INDEX(choices!A:A,MATCH(M102,choices!A:A,0)+19),INDEX(choices!C:C,MATCH(M102,choices!A:A,0)+19),""),IF(M102=INDEX(choices!A:A,MATCH(M102,choices!A:A,0)+19), "
",""),IF(M102=INDEX(choices!A:A,MATCH(M102,choices!A:A,0)+20),INDEX(choices!C:C,MATCH(M102,choices!A:A,0)+20),""),IF(M102=INDEX(choices!A:A,MATCH(M102,choices!A:A,0)+20), "
","")," ")</f>
        <v xml:space="preserve">1. نعم
2. لا
 </v>
      </c>
      <c r="H102">
        <f t="shared" si="26"/>
        <v>4</v>
      </c>
      <c r="I102" s="274" t="str">
        <f t="shared" si="21"/>
        <v>14411_4</v>
      </c>
      <c r="L102" s="267" t="s">
        <v>170</v>
      </c>
      <c r="M102" s="275" t="s">
        <v>17</v>
      </c>
      <c r="N102" s="271" t="str">
        <f t="shared" si="22"/>
        <v>q14411_4</v>
      </c>
      <c r="O102" s="306" t="str">
        <f t="shared" si="23"/>
        <v>14411_4. انهيارات أرضية/تآكل</v>
      </c>
      <c r="P102" s="257" t="str">
        <f t="shared" si="24"/>
        <v>14411_4. landslides, erosion</v>
      </c>
      <c r="Q102" s="272"/>
      <c r="R102" s="272"/>
      <c r="S102" s="427" t="str">
        <f t="shared" si="25"/>
        <v xml:space="preserve">data('valid_overall') ==1 </v>
      </c>
      <c r="T102" s="262"/>
      <c r="U102" s="262"/>
      <c r="V102" s="262"/>
      <c r="W102" s="262"/>
      <c r="X102" s="262"/>
      <c r="Y102" s="271" t="b">
        <v>1</v>
      </c>
    </row>
    <row r="103" spans="1:31" ht="63">
      <c r="A103" s="48" t="str">
        <f t="shared" si="20"/>
        <v>q14411_5</v>
      </c>
      <c r="B103" s="276" t="s">
        <v>882</v>
      </c>
      <c r="C103" s="276"/>
      <c r="D103" s="268" t="str">
        <f>CONCATENATE(INDEX(choices!D:D,MATCH(M103,choices!A:A,0)),"
",IF(M103=INDEX(choices!A:A,MATCH(M103,choices!A:A,0)+1),INDEX(choices!D:D,MATCH(M103,choices!A:A,0)+1),""),IF(M103=INDEX(choices!A:A,MATCH(M103,choices!A:A,0)+1), "
",""),IF(M103=INDEX(choices!A:A,MATCH(M103,choices!A:A,0)+2),INDEX(choices!D:D,MATCH(M103,choices!A:A,0)+2),""),IF(M103=INDEX(choices!A:A,MATCH(M103,choices!A:A,0)+2), "
",""),IF(M103=INDEX(choices!A:A,MATCH(M103,choices!A:A,0)+3),INDEX(choices!D:D,MATCH(M103,choices!A:A,0)+3),""),IF(M103=INDEX(choices!A:A,MATCH(M103,choices!A:A,0)+3), "
",""),IF(M103=INDEX(choices!A:A,MATCH(M103,choices!A:A,0)+4),INDEX(choices!D:D,MATCH(M103,choices!A:A,0)+4),""),IF(M103=INDEX(choices!A:A,MATCH(M103,choices!A:A,0)+4), "
",""),IF(M103=INDEX(choices!A:A,MATCH(M103,choices!A:A,0)+5),INDEX(choices!D:D,MATCH(M103,choices!A:A,0)+5),""),IF(M103=INDEX(choices!A:A,MATCH(M103,choices!A:A,0)+5), "
",""),IF(M103=INDEX(choices!A:A,MATCH(M103,choices!A:A,0)+6),INDEX(choices!D:D,MATCH(M103,choices!A:A,0)+6),""),IF(M103=INDEX(choices!A:A,MATCH(M103,choices!A:A,0)+6), "
",""),IF(M103=INDEX(choices!A:A,MATCH(M103,choices!A:A,0)+7),INDEX(choices!D:D,MATCH(M103,choices!A:A,0)+7),""),IF(M103=INDEX(choices!A:A,MATCH(M103,choices!A:A,0)+7), "
",""),IF(M103=INDEX(choices!A:A,MATCH(M103,choices!A:A,0)+8),INDEX(choices!D:D,MATCH(M103,choices!A:A,0)+8),""),IF(M103=INDEX(choices!A:A,MATCH(M103,choices!A:A,0)+8), "
",""),IF(M103=INDEX(choices!A:A,MATCH(M103,choices!A:A,0)+9),INDEX(choices!D:D,MATCH(M103,choices!A:A,0)+9),""),IF(M103=INDEX(choices!A:A,MATCH(M103,choices!A:A,0)+9), "
",""),IF(M103=INDEX(choices!A:A,MATCH(M103,choices!A:A,0)+10),INDEX(choices!D:D,MATCH(M103,choices!A:A,0)+10),""),IF(M103=INDEX(choices!A:A,MATCH(M103,choices!A:A,0)+10), "
",""),IF(M103=INDEX(choices!A:A,MATCH(M103,choices!A:A,0)+11),INDEX(choices!D:D,MATCH(M103,choices!A:A,0)+11),""),IF(M103=INDEX(choices!A:A,MATCH(M103,choices!A:A,0)+11), "
",""),IF(M103=INDEX(choices!A:A,MATCH(M103,choices!A:A,0)+12),INDEX(choices!D:D,MATCH(M103,choices!A:A,0)+12),""),IF(M103=INDEX(choices!A:A,MATCH(M103,choices!A:A,0)+12), "
",""),IF(M103=INDEX(choices!A:A,MATCH(M103,choices!A:A,0)+13),INDEX(choices!D:D,MATCH(M103,choices!A:A,0)+13),""),IF(M103=INDEX(choices!A:A,MATCH(M103,choices!A:A,0)+13), "
",""),IF(M103=INDEX(choices!A:A,MATCH(M103,choices!A:A,0)+14),INDEX(choices!D:D,MATCH(M103,choices!A:A,0)+14),""),IF(M103=INDEX(choices!A:A,MATCH(M103,choices!A:A,0)+14), "
",""),IF(M103=INDEX(choices!A:A,MATCH(M103,choices!A:A,0)+15),INDEX(choices!D:D,MATCH(M103,choices!A:A,0)+15),""),IF(M103=INDEX(choices!A:A,MATCH(M103,choices!A:A,0)+15), "
",""),IF(M103=INDEX(choices!A:A,MATCH(M103,choices!A:A,0)+16),INDEX(choices!D:D,MATCH(M103,choices!A:A,0)+16),""),IF(M103=INDEX(choices!A:A,MATCH(M103,choices!A:A,0)+16), "
",""),IF(M103=INDEX(choices!A:A,MATCH(M103,choices!A:A,0)+17),INDEX(choices!D:D,MATCH(M103,choices!A:A,0)+17),""),IF(M103=INDEX(choices!A:A,MATCH(M103,choices!A:A,0)+17), "
",""),IF(M103=INDEX(choices!A:A,MATCH(M103,choices!A:A,0)+18),INDEX(choices!D:D,MATCH(M103,choices!A:A,0)+18),""),IF(M103=INDEX(choices!A:A,MATCH(M103,choices!A:A,0)+18), "
",""),IF(M103=INDEX(choices!A:A,MATCH(M103,choices!A:A,0)+19),INDEX(choices!D:D,MATCH(M103,choices!A:A,0)+19),""),IF(M103=INDEX(choices!A:A,MATCH(M103,choices!A:A,0)+19), "
",""),IF(M103=INDEX(choices!A:A,MATCH(M103,choices!A:A,0)+20),INDEX(choices!D:D,MATCH(M103,choices!A:A,0)+20),""),IF(M103=INDEX(choices!A:A,MATCH(M103,choices!A:A,0)+20), "
",""))</f>
        <v xml:space="preserve">1. Yes
2. No
</v>
      </c>
      <c r="E103" s="366" t="s">
        <v>1248</v>
      </c>
      <c r="F103" s="276"/>
      <c r="G103" s="273" t="str">
        <f>CONCATENATE(INDEX(choices!C:C,MATCH(M103,choices!A:A,0)),"
",IF(M103=INDEX(choices!A:A,MATCH(M103,choices!A:A,0)+1),INDEX(choices!C:C,MATCH(M103,choices!A:A,0)+1),""),IF(M103=INDEX(choices!A:A,MATCH(M103,choices!A:A,0)+1), "
",""),IF(M103=INDEX(choices!A:A,MATCH(M103,choices!A:A,0)+2),INDEX(choices!C:C,MATCH(M103,choices!A:A,0)+2),""),IF(M103=INDEX(choices!A:A,MATCH(M103,choices!A:A,0)+2), "
",""),IF(M103=INDEX(choices!A:A,MATCH(M103,choices!A:A,0)+3),INDEX(choices!C:C,MATCH(M103,choices!A:A,0)+3),""),IF(M103=INDEX(choices!A:A,MATCH(M103,choices!A:A,0)+3), "
",""),IF(M103=INDEX(choices!A:A,MATCH(M103,choices!A:A,0)+4),INDEX(choices!C:C,MATCH(M103,choices!A:A,0)+4),""),IF(M103=INDEX(choices!A:A,MATCH(M103,choices!A:A,0)+4), "
",""),IF(M103=INDEX(choices!A:A,MATCH(M103,choices!A:A,0)+5),INDEX(choices!C:C,MATCH(M103,choices!A:A,0)+5),""),IF(M103=INDEX(choices!A:A,MATCH(M103,choices!A:A,0)+5), "
",""),IF(M103=INDEX(choices!A:A,MATCH(M103,choices!A:A,0)+6),INDEX(choices!C:C,MATCH(M103,choices!A:A,0)+6),""),IF(M103=INDEX(choices!A:A,MATCH(M103,choices!A:A,0)+6), "
",""),IF(M103=INDEX(choices!A:A,MATCH(M103,choices!A:A,0)+7),INDEX(choices!C:C,MATCH(M103,choices!A:A,0)+7),""),IF(M103=INDEX(choices!A:A,MATCH(M103,choices!A:A,0)+7), "
",""),IF(M103=INDEX(choices!A:A,MATCH(M103,choices!A:A,0)+8),INDEX(choices!C:C,MATCH(M103,choices!A:A,0)+8),""),IF(M103=INDEX(choices!A:A,MATCH(M103,choices!A:A,0)+8), "
",""),IF(M103=INDEX(choices!A:A,MATCH(M103,choices!A:A,0)+9),INDEX(choices!C:C,MATCH(M103,choices!A:A,0)+9),""),IF(M103=INDEX(choices!A:A,MATCH(M103,choices!A:A,0)+9), "
",""),IF(M103=INDEX(choices!A:A,MATCH(M103,choices!A:A,0)+10),INDEX(choices!C:C,MATCH(M103,choices!A:A,0)+10),""),IF(M103=INDEX(choices!A:A,MATCH(M103,choices!A:A,0)+10), "
",""),IF(M103=INDEX(choices!A:A,MATCH(M103,choices!A:A,0)+11),INDEX(choices!C:C,MATCH(M103,choices!A:A,0)+11),""),IF(M103=INDEX(choices!A:A,MATCH(M103,choices!A:A,0)+11), "
",""),IF(M103=INDEX(choices!A:A,MATCH(M103,choices!A:A,0)+12),INDEX(choices!C:C,MATCH(M103,choices!A:A,0)+12),""),IF(M103=INDEX(choices!A:A,MATCH(M103,choices!A:A,0)+12), "
",""),IF(M103=INDEX(choices!A:A,MATCH(M103,choices!A:A,0)+13),INDEX(choices!C:C,MATCH(M103,choices!A:A,0)+13),""),IF(M103=INDEX(choices!A:A,MATCH(M103,choices!A:A,0)+13), "
",""),IF(M103=INDEX(choices!A:A,MATCH(M103,choices!A:A,0)+14),INDEX(choices!C:C,MATCH(M103,choices!A:A,0)+14),""),IF(M103=INDEX(choices!A:A,MATCH(M103,choices!A:A,0)+14), "
",""),IF(M103=INDEX(choices!A:A,MATCH(M103,choices!A:A,0)+15),INDEX(choices!C:C,MATCH(M103,choices!A:A,0)+15),""),IF(M103=INDEX(choices!A:A,MATCH(M103,choices!A:A,0)+15), "
",""),IF(M103=INDEX(choices!A:A,MATCH(M103,choices!A:A,0)+16),INDEX(choices!C:C,MATCH(M103,choices!A:A,0)+16),""),IF(M103=INDEX(choices!A:A,MATCH(M103,choices!A:A,0)+16), "
",""),IF(M103=INDEX(choices!A:A,MATCH(M103,choices!A:A,0)+17),INDEX(choices!C:C,MATCH(M103,choices!A:A,0)+17),""),IF(M103=INDEX(choices!A:A,MATCH(M103,choices!A:A,0)+17), "
",""),IF(M103=INDEX(choices!A:A,MATCH(M103,choices!A:A,0)+18),INDEX(choices!C:C,MATCH(M103,choices!A:A,0)+18),""),IF(M103=INDEX(choices!A:A,MATCH(M103,choices!A:A,0)+18), "
",""),IF(M103=INDEX(choices!A:A,MATCH(M103,choices!A:A,0)+19),INDEX(choices!C:C,MATCH(M103,choices!A:A,0)+19),""),IF(M103=INDEX(choices!A:A,MATCH(M103,choices!A:A,0)+19), "
",""),IF(M103=INDEX(choices!A:A,MATCH(M103,choices!A:A,0)+20),INDEX(choices!C:C,MATCH(M103,choices!A:A,0)+20),""),IF(M103=INDEX(choices!A:A,MATCH(M103,choices!A:A,0)+20), "
","")," ")</f>
        <v xml:space="preserve">1. نعم
2. لا
 </v>
      </c>
      <c r="H103">
        <f t="shared" si="26"/>
        <v>5</v>
      </c>
      <c r="I103" s="274" t="str">
        <f t="shared" si="21"/>
        <v>14411_5</v>
      </c>
      <c r="L103" s="267" t="s">
        <v>170</v>
      </c>
      <c r="M103" s="275" t="s">
        <v>17</v>
      </c>
      <c r="N103" s="271" t="str">
        <f t="shared" si="22"/>
        <v>q14411_5</v>
      </c>
      <c r="O103" s="306" t="str">
        <f t="shared" si="23"/>
        <v>14411_5. مستوى متقدم من آفات وأمراض المحاصيل</v>
      </c>
      <c r="P103" s="257" t="str">
        <f t="shared" si="24"/>
        <v>14411_5. Severely high level of crop pests and disease</v>
      </c>
      <c r="Q103" s="272"/>
      <c r="R103" s="272"/>
      <c r="S103" s="427" t="str">
        <f t="shared" si="25"/>
        <v xml:space="preserve">data('valid_overall') ==1 </v>
      </c>
      <c r="T103" s="262"/>
      <c r="U103" s="262"/>
      <c r="V103" s="262"/>
      <c r="W103" s="262"/>
      <c r="X103" s="262"/>
      <c r="Y103" s="271" t="b">
        <v>1</v>
      </c>
    </row>
    <row r="104" spans="1:31" ht="63">
      <c r="A104" s="48" t="str">
        <f t="shared" si="20"/>
        <v>q14411_6</v>
      </c>
      <c r="B104" s="276" t="s">
        <v>1205</v>
      </c>
      <c r="C104" s="276"/>
      <c r="D104" s="268" t="str">
        <f>CONCATENATE(INDEX(choices!D:D,MATCH(M104,choices!A:A,0)),"
",IF(M104=INDEX(choices!A:A,MATCH(M104,choices!A:A,0)+1),INDEX(choices!D:D,MATCH(M104,choices!A:A,0)+1),""),IF(M104=INDEX(choices!A:A,MATCH(M104,choices!A:A,0)+1), "
",""),IF(M104=INDEX(choices!A:A,MATCH(M104,choices!A:A,0)+2),INDEX(choices!D:D,MATCH(M104,choices!A:A,0)+2),""),IF(M104=INDEX(choices!A:A,MATCH(M104,choices!A:A,0)+2), "
",""),IF(M104=INDEX(choices!A:A,MATCH(M104,choices!A:A,0)+3),INDEX(choices!D:D,MATCH(M104,choices!A:A,0)+3),""),IF(M104=INDEX(choices!A:A,MATCH(M104,choices!A:A,0)+3), "
",""),IF(M104=INDEX(choices!A:A,MATCH(M104,choices!A:A,0)+4),INDEX(choices!D:D,MATCH(M104,choices!A:A,0)+4),""),IF(M104=INDEX(choices!A:A,MATCH(M104,choices!A:A,0)+4), "
",""),IF(M104=INDEX(choices!A:A,MATCH(M104,choices!A:A,0)+5),INDEX(choices!D:D,MATCH(M104,choices!A:A,0)+5),""),IF(M104=INDEX(choices!A:A,MATCH(M104,choices!A:A,0)+5), "
",""),IF(M104=INDEX(choices!A:A,MATCH(M104,choices!A:A,0)+6),INDEX(choices!D:D,MATCH(M104,choices!A:A,0)+6),""),IF(M104=INDEX(choices!A:A,MATCH(M104,choices!A:A,0)+6), "
",""),IF(M104=INDEX(choices!A:A,MATCH(M104,choices!A:A,0)+7),INDEX(choices!D:D,MATCH(M104,choices!A:A,0)+7),""),IF(M104=INDEX(choices!A:A,MATCH(M104,choices!A:A,0)+7), "
",""),IF(M104=INDEX(choices!A:A,MATCH(M104,choices!A:A,0)+8),INDEX(choices!D:D,MATCH(M104,choices!A:A,0)+8),""),IF(M104=INDEX(choices!A:A,MATCH(M104,choices!A:A,0)+8), "
",""),IF(M104=INDEX(choices!A:A,MATCH(M104,choices!A:A,0)+9),INDEX(choices!D:D,MATCH(M104,choices!A:A,0)+9),""),IF(M104=INDEX(choices!A:A,MATCH(M104,choices!A:A,0)+9), "
",""),IF(M104=INDEX(choices!A:A,MATCH(M104,choices!A:A,0)+10),INDEX(choices!D:D,MATCH(M104,choices!A:A,0)+10),""),IF(M104=INDEX(choices!A:A,MATCH(M104,choices!A:A,0)+10), "
",""),IF(M104=INDEX(choices!A:A,MATCH(M104,choices!A:A,0)+11),INDEX(choices!D:D,MATCH(M104,choices!A:A,0)+11),""),IF(M104=INDEX(choices!A:A,MATCH(M104,choices!A:A,0)+11), "
",""),IF(M104=INDEX(choices!A:A,MATCH(M104,choices!A:A,0)+12),INDEX(choices!D:D,MATCH(M104,choices!A:A,0)+12),""),IF(M104=INDEX(choices!A:A,MATCH(M104,choices!A:A,0)+12), "
",""),IF(M104=INDEX(choices!A:A,MATCH(M104,choices!A:A,0)+13),INDEX(choices!D:D,MATCH(M104,choices!A:A,0)+13),""),IF(M104=INDEX(choices!A:A,MATCH(M104,choices!A:A,0)+13), "
",""),IF(M104=INDEX(choices!A:A,MATCH(M104,choices!A:A,0)+14),INDEX(choices!D:D,MATCH(M104,choices!A:A,0)+14),""),IF(M104=INDEX(choices!A:A,MATCH(M104,choices!A:A,0)+14), "
",""),IF(M104=INDEX(choices!A:A,MATCH(M104,choices!A:A,0)+15),INDEX(choices!D:D,MATCH(M104,choices!A:A,0)+15),""),IF(M104=INDEX(choices!A:A,MATCH(M104,choices!A:A,0)+15), "
",""),IF(M104=INDEX(choices!A:A,MATCH(M104,choices!A:A,0)+16),INDEX(choices!D:D,MATCH(M104,choices!A:A,0)+16),""),IF(M104=INDEX(choices!A:A,MATCH(M104,choices!A:A,0)+16), "
",""),IF(M104=INDEX(choices!A:A,MATCH(M104,choices!A:A,0)+17),INDEX(choices!D:D,MATCH(M104,choices!A:A,0)+17),""),IF(M104=INDEX(choices!A:A,MATCH(M104,choices!A:A,0)+17), "
",""),IF(M104=INDEX(choices!A:A,MATCH(M104,choices!A:A,0)+18),INDEX(choices!D:D,MATCH(M104,choices!A:A,0)+18),""),IF(M104=INDEX(choices!A:A,MATCH(M104,choices!A:A,0)+18), "
",""),IF(M104=INDEX(choices!A:A,MATCH(M104,choices!A:A,0)+19),INDEX(choices!D:D,MATCH(M104,choices!A:A,0)+19),""),IF(M104=INDEX(choices!A:A,MATCH(M104,choices!A:A,0)+19), "
",""),IF(M104=INDEX(choices!A:A,MATCH(M104,choices!A:A,0)+20),INDEX(choices!D:D,MATCH(M104,choices!A:A,0)+20),""),IF(M104=INDEX(choices!A:A,MATCH(M104,choices!A:A,0)+20), "
",""))</f>
        <v xml:space="preserve">1. Yes
2. No
</v>
      </c>
      <c r="E104" s="366" t="s">
        <v>1249</v>
      </c>
      <c r="F104" s="276"/>
      <c r="G104" s="273" t="str">
        <f>CONCATENATE(INDEX(choices!C:C,MATCH(M104,choices!A:A,0)),"
",IF(M104=INDEX(choices!A:A,MATCH(M104,choices!A:A,0)+1),INDEX(choices!C:C,MATCH(M104,choices!A:A,0)+1),""),IF(M104=INDEX(choices!A:A,MATCH(M104,choices!A:A,0)+1), "
",""),IF(M104=INDEX(choices!A:A,MATCH(M104,choices!A:A,0)+2),INDEX(choices!C:C,MATCH(M104,choices!A:A,0)+2),""),IF(M104=INDEX(choices!A:A,MATCH(M104,choices!A:A,0)+2), "
",""),IF(M104=INDEX(choices!A:A,MATCH(M104,choices!A:A,0)+3),INDEX(choices!C:C,MATCH(M104,choices!A:A,0)+3),""),IF(M104=INDEX(choices!A:A,MATCH(M104,choices!A:A,0)+3), "
",""),IF(M104=INDEX(choices!A:A,MATCH(M104,choices!A:A,0)+4),INDEX(choices!C:C,MATCH(M104,choices!A:A,0)+4),""),IF(M104=INDEX(choices!A:A,MATCH(M104,choices!A:A,0)+4), "
",""),IF(M104=INDEX(choices!A:A,MATCH(M104,choices!A:A,0)+5),INDEX(choices!C:C,MATCH(M104,choices!A:A,0)+5),""),IF(M104=INDEX(choices!A:A,MATCH(M104,choices!A:A,0)+5), "
",""),IF(M104=INDEX(choices!A:A,MATCH(M104,choices!A:A,0)+6),INDEX(choices!C:C,MATCH(M104,choices!A:A,0)+6),""),IF(M104=INDEX(choices!A:A,MATCH(M104,choices!A:A,0)+6), "
",""),IF(M104=INDEX(choices!A:A,MATCH(M104,choices!A:A,0)+7),INDEX(choices!C:C,MATCH(M104,choices!A:A,0)+7),""),IF(M104=INDEX(choices!A:A,MATCH(M104,choices!A:A,0)+7), "
",""),IF(M104=INDEX(choices!A:A,MATCH(M104,choices!A:A,0)+8),INDEX(choices!C:C,MATCH(M104,choices!A:A,0)+8),""),IF(M104=INDEX(choices!A:A,MATCH(M104,choices!A:A,0)+8), "
",""),IF(M104=INDEX(choices!A:A,MATCH(M104,choices!A:A,0)+9),INDEX(choices!C:C,MATCH(M104,choices!A:A,0)+9),""),IF(M104=INDEX(choices!A:A,MATCH(M104,choices!A:A,0)+9), "
",""),IF(M104=INDEX(choices!A:A,MATCH(M104,choices!A:A,0)+10),INDEX(choices!C:C,MATCH(M104,choices!A:A,0)+10),""),IF(M104=INDEX(choices!A:A,MATCH(M104,choices!A:A,0)+10), "
",""),IF(M104=INDEX(choices!A:A,MATCH(M104,choices!A:A,0)+11),INDEX(choices!C:C,MATCH(M104,choices!A:A,0)+11),""),IF(M104=INDEX(choices!A:A,MATCH(M104,choices!A:A,0)+11), "
",""),IF(M104=INDEX(choices!A:A,MATCH(M104,choices!A:A,0)+12),INDEX(choices!C:C,MATCH(M104,choices!A:A,0)+12),""),IF(M104=INDEX(choices!A:A,MATCH(M104,choices!A:A,0)+12), "
",""),IF(M104=INDEX(choices!A:A,MATCH(M104,choices!A:A,0)+13),INDEX(choices!C:C,MATCH(M104,choices!A:A,0)+13),""),IF(M104=INDEX(choices!A:A,MATCH(M104,choices!A:A,0)+13), "
",""),IF(M104=INDEX(choices!A:A,MATCH(M104,choices!A:A,0)+14),INDEX(choices!C:C,MATCH(M104,choices!A:A,0)+14),""),IF(M104=INDEX(choices!A:A,MATCH(M104,choices!A:A,0)+14), "
",""),IF(M104=INDEX(choices!A:A,MATCH(M104,choices!A:A,0)+15),INDEX(choices!C:C,MATCH(M104,choices!A:A,0)+15),""),IF(M104=INDEX(choices!A:A,MATCH(M104,choices!A:A,0)+15), "
",""),IF(M104=INDEX(choices!A:A,MATCH(M104,choices!A:A,0)+16),INDEX(choices!C:C,MATCH(M104,choices!A:A,0)+16),""),IF(M104=INDEX(choices!A:A,MATCH(M104,choices!A:A,0)+16), "
",""),IF(M104=INDEX(choices!A:A,MATCH(M104,choices!A:A,0)+17),INDEX(choices!C:C,MATCH(M104,choices!A:A,0)+17),""),IF(M104=INDEX(choices!A:A,MATCH(M104,choices!A:A,0)+17), "
",""),IF(M104=INDEX(choices!A:A,MATCH(M104,choices!A:A,0)+18),INDEX(choices!C:C,MATCH(M104,choices!A:A,0)+18),""),IF(M104=INDEX(choices!A:A,MATCH(M104,choices!A:A,0)+18), "
",""),IF(M104=INDEX(choices!A:A,MATCH(M104,choices!A:A,0)+19),INDEX(choices!C:C,MATCH(M104,choices!A:A,0)+19),""),IF(M104=INDEX(choices!A:A,MATCH(M104,choices!A:A,0)+19), "
",""),IF(M104=INDEX(choices!A:A,MATCH(M104,choices!A:A,0)+20),INDEX(choices!C:C,MATCH(M104,choices!A:A,0)+20),""),IF(M104=INDEX(choices!A:A,MATCH(M104,choices!A:A,0)+20), "
","")," ")</f>
        <v xml:space="preserve">1. نعم
2. لا
 </v>
      </c>
      <c r="H104">
        <f t="shared" si="26"/>
        <v>6</v>
      </c>
      <c r="I104" s="274" t="str">
        <f t="shared" si="21"/>
        <v>14411_6</v>
      </c>
      <c r="L104" s="267" t="s">
        <v>170</v>
      </c>
      <c r="M104" s="275" t="s">
        <v>17</v>
      </c>
      <c r="N104" s="271" t="str">
        <f t="shared" si="22"/>
        <v>q14411_6</v>
      </c>
      <c r="O104" s="306" t="str">
        <f t="shared" si="23"/>
        <v xml:space="preserve">14411_6. مستوى متقدم من أمراض الماشية </v>
      </c>
      <c r="P104" s="257" t="str">
        <f t="shared" si="24"/>
        <v>14411_6. Severely high level of livestock disease</v>
      </c>
      <c r="Q104" s="272"/>
      <c r="R104" s="272"/>
      <c r="S104" s="427" t="str">
        <f t="shared" si="25"/>
        <v xml:space="preserve">data('valid_overall') ==1 </v>
      </c>
      <c r="T104" s="262"/>
      <c r="U104" s="262"/>
      <c r="V104" s="262"/>
      <c r="W104" s="262"/>
      <c r="X104" s="262"/>
      <c r="Y104" s="271" t="b">
        <v>1</v>
      </c>
    </row>
    <row r="105" spans="1:31" ht="39">
      <c r="A105" s="48" t="str">
        <f t="shared" si="20"/>
        <v>q14411_7</v>
      </c>
      <c r="B105" s="276" t="s">
        <v>883</v>
      </c>
      <c r="C105" s="276"/>
      <c r="D105" s="268" t="str">
        <f>CONCATENATE(INDEX(choices!D:D,MATCH(M105,choices!A:A,0)),"
",IF(M105=INDEX(choices!A:A,MATCH(M105,choices!A:A,0)+1),INDEX(choices!D:D,MATCH(M105,choices!A:A,0)+1),""),IF(M105=INDEX(choices!A:A,MATCH(M105,choices!A:A,0)+1), "
",""),IF(M105=INDEX(choices!A:A,MATCH(M105,choices!A:A,0)+2),INDEX(choices!D:D,MATCH(M105,choices!A:A,0)+2),""),IF(M105=INDEX(choices!A:A,MATCH(M105,choices!A:A,0)+2), "
",""),IF(M105=INDEX(choices!A:A,MATCH(M105,choices!A:A,0)+3),INDEX(choices!D:D,MATCH(M105,choices!A:A,0)+3),""),IF(M105=INDEX(choices!A:A,MATCH(M105,choices!A:A,0)+3), "
",""),IF(M105=INDEX(choices!A:A,MATCH(M105,choices!A:A,0)+4),INDEX(choices!D:D,MATCH(M105,choices!A:A,0)+4),""),IF(M105=INDEX(choices!A:A,MATCH(M105,choices!A:A,0)+4), "
",""),IF(M105=INDEX(choices!A:A,MATCH(M105,choices!A:A,0)+5),INDEX(choices!D:D,MATCH(M105,choices!A:A,0)+5),""),IF(M105=INDEX(choices!A:A,MATCH(M105,choices!A:A,0)+5), "
",""),IF(M105=INDEX(choices!A:A,MATCH(M105,choices!A:A,0)+6),INDEX(choices!D:D,MATCH(M105,choices!A:A,0)+6),""),IF(M105=INDEX(choices!A:A,MATCH(M105,choices!A:A,0)+6), "
",""),IF(M105=INDEX(choices!A:A,MATCH(M105,choices!A:A,0)+7),INDEX(choices!D:D,MATCH(M105,choices!A:A,0)+7),""),IF(M105=INDEX(choices!A:A,MATCH(M105,choices!A:A,0)+7), "
",""),IF(M105=INDEX(choices!A:A,MATCH(M105,choices!A:A,0)+8),INDEX(choices!D:D,MATCH(M105,choices!A:A,0)+8),""),IF(M105=INDEX(choices!A:A,MATCH(M105,choices!A:A,0)+8), "
",""),IF(M105=INDEX(choices!A:A,MATCH(M105,choices!A:A,0)+9),INDEX(choices!D:D,MATCH(M105,choices!A:A,0)+9),""),IF(M105=INDEX(choices!A:A,MATCH(M105,choices!A:A,0)+9), "
",""),IF(M105=INDEX(choices!A:A,MATCH(M105,choices!A:A,0)+10),INDEX(choices!D:D,MATCH(M105,choices!A:A,0)+10),""),IF(M105=INDEX(choices!A:A,MATCH(M105,choices!A:A,0)+10), "
",""),IF(M105=INDEX(choices!A:A,MATCH(M105,choices!A:A,0)+11),INDEX(choices!D:D,MATCH(M105,choices!A:A,0)+11),""),IF(M105=INDEX(choices!A:A,MATCH(M105,choices!A:A,0)+11), "
",""),IF(M105=INDEX(choices!A:A,MATCH(M105,choices!A:A,0)+12),INDEX(choices!D:D,MATCH(M105,choices!A:A,0)+12),""),IF(M105=INDEX(choices!A:A,MATCH(M105,choices!A:A,0)+12), "
",""),IF(M105=INDEX(choices!A:A,MATCH(M105,choices!A:A,0)+13),INDEX(choices!D:D,MATCH(M105,choices!A:A,0)+13),""),IF(M105=INDEX(choices!A:A,MATCH(M105,choices!A:A,0)+13), "
",""),IF(M105=INDEX(choices!A:A,MATCH(M105,choices!A:A,0)+14),INDEX(choices!D:D,MATCH(M105,choices!A:A,0)+14),""),IF(M105=INDEX(choices!A:A,MATCH(M105,choices!A:A,0)+14), "
",""),IF(M105=INDEX(choices!A:A,MATCH(M105,choices!A:A,0)+15),INDEX(choices!D:D,MATCH(M105,choices!A:A,0)+15),""),IF(M105=INDEX(choices!A:A,MATCH(M105,choices!A:A,0)+15), "
",""),IF(M105=INDEX(choices!A:A,MATCH(M105,choices!A:A,0)+16),INDEX(choices!D:D,MATCH(M105,choices!A:A,0)+16),""),IF(M105=INDEX(choices!A:A,MATCH(M105,choices!A:A,0)+16), "
",""),IF(M105=INDEX(choices!A:A,MATCH(M105,choices!A:A,0)+17),INDEX(choices!D:D,MATCH(M105,choices!A:A,0)+17),""),IF(M105=INDEX(choices!A:A,MATCH(M105,choices!A:A,0)+17), "
",""),IF(M105=INDEX(choices!A:A,MATCH(M105,choices!A:A,0)+18),INDEX(choices!D:D,MATCH(M105,choices!A:A,0)+18),""),IF(M105=INDEX(choices!A:A,MATCH(M105,choices!A:A,0)+18), "
",""),IF(M105=INDEX(choices!A:A,MATCH(M105,choices!A:A,0)+19),INDEX(choices!D:D,MATCH(M105,choices!A:A,0)+19),""),IF(M105=INDEX(choices!A:A,MATCH(M105,choices!A:A,0)+19), "
",""),IF(M105=INDEX(choices!A:A,MATCH(M105,choices!A:A,0)+20),INDEX(choices!D:D,MATCH(M105,choices!A:A,0)+20),""),IF(M105=INDEX(choices!A:A,MATCH(M105,choices!A:A,0)+20), "
",""))</f>
        <v xml:space="preserve">1. Yes
2. No
</v>
      </c>
      <c r="E105" s="367" t="s">
        <v>1250</v>
      </c>
      <c r="F105" s="276"/>
      <c r="G105" s="273" t="str">
        <f>CONCATENATE(INDEX(choices!C:C,MATCH(M105,choices!A:A,0)),"
",IF(M105=INDEX(choices!A:A,MATCH(M105,choices!A:A,0)+1),INDEX(choices!C:C,MATCH(M105,choices!A:A,0)+1),""),IF(M105=INDEX(choices!A:A,MATCH(M105,choices!A:A,0)+1), "
",""),IF(M105=INDEX(choices!A:A,MATCH(M105,choices!A:A,0)+2),INDEX(choices!C:C,MATCH(M105,choices!A:A,0)+2),""),IF(M105=INDEX(choices!A:A,MATCH(M105,choices!A:A,0)+2), "
",""),IF(M105=INDEX(choices!A:A,MATCH(M105,choices!A:A,0)+3),INDEX(choices!C:C,MATCH(M105,choices!A:A,0)+3),""),IF(M105=INDEX(choices!A:A,MATCH(M105,choices!A:A,0)+3), "
",""),IF(M105=INDEX(choices!A:A,MATCH(M105,choices!A:A,0)+4),INDEX(choices!C:C,MATCH(M105,choices!A:A,0)+4),""),IF(M105=INDEX(choices!A:A,MATCH(M105,choices!A:A,0)+4), "
",""),IF(M105=INDEX(choices!A:A,MATCH(M105,choices!A:A,0)+5),INDEX(choices!C:C,MATCH(M105,choices!A:A,0)+5),""),IF(M105=INDEX(choices!A:A,MATCH(M105,choices!A:A,0)+5), "
",""),IF(M105=INDEX(choices!A:A,MATCH(M105,choices!A:A,0)+6),INDEX(choices!C:C,MATCH(M105,choices!A:A,0)+6),""),IF(M105=INDEX(choices!A:A,MATCH(M105,choices!A:A,0)+6), "
",""),IF(M105=INDEX(choices!A:A,MATCH(M105,choices!A:A,0)+7),INDEX(choices!C:C,MATCH(M105,choices!A:A,0)+7),""),IF(M105=INDEX(choices!A:A,MATCH(M105,choices!A:A,0)+7), "
",""),IF(M105=INDEX(choices!A:A,MATCH(M105,choices!A:A,0)+8),INDEX(choices!C:C,MATCH(M105,choices!A:A,0)+8),""),IF(M105=INDEX(choices!A:A,MATCH(M105,choices!A:A,0)+8), "
",""),IF(M105=INDEX(choices!A:A,MATCH(M105,choices!A:A,0)+9),INDEX(choices!C:C,MATCH(M105,choices!A:A,0)+9),""),IF(M105=INDEX(choices!A:A,MATCH(M105,choices!A:A,0)+9), "
",""),IF(M105=INDEX(choices!A:A,MATCH(M105,choices!A:A,0)+10),INDEX(choices!C:C,MATCH(M105,choices!A:A,0)+10),""),IF(M105=INDEX(choices!A:A,MATCH(M105,choices!A:A,0)+10), "
",""),IF(M105=INDEX(choices!A:A,MATCH(M105,choices!A:A,0)+11),INDEX(choices!C:C,MATCH(M105,choices!A:A,0)+11),""),IF(M105=INDEX(choices!A:A,MATCH(M105,choices!A:A,0)+11), "
",""),IF(M105=INDEX(choices!A:A,MATCH(M105,choices!A:A,0)+12),INDEX(choices!C:C,MATCH(M105,choices!A:A,0)+12),""),IF(M105=INDEX(choices!A:A,MATCH(M105,choices!A:A,0)+12), "
",""),IF(M105=INDEX(choices!A:A,MATCH(M105,choices!A:A,0)+13),INDEX(choices!C:C,MATCH(M105,choices!A:A,0)+13),""),IF(M105=INDEX(choices!A:A,MATCH(M105,choices!A:A,0)+13), "
",""),IF(M105=INDEX(choices!A:A,MATCH(M105,choices!A:A,0)+14),INDEX(choices!C:C,MATCH(M105,choices!A:A,0)+14),""),IF(M105=INDEX(choices!A:A,MATCH(M105,choices!A:A,0)+14), "
",""),IF(M105=INDEX(choices!A:A,MATCH(M105,choices!A:A,0)+15),INDEX(choices!C:C,MATCH(M105,choices!A:A,0)+15),""),IF(M105=INDEX(choices!A:A,MATCH(M105,choices!A:A,0)+15), "
",""),IF(M105=INDEX(choices!A:A,MATCH(M105,choices!A:A,0)+16),INDEX(choices!C:C,MATCH(M105,choices!A:A,0)+16),""),IF(M105=INDEX(choices!A:A,MATCH(M105,choices!A:A,0)+16), "
",""),IF(M105=INDEX(choices!A:A,MATCH(M105,choices!A:A,0)+17),INDEX(choices!C:C,MATCH(M105,choices!A:A,0)+17),""),IF(M105=INDEX(choices!A:A,MATCH(M105,choices!A:A,0)+17), "
",""),IF(M105=INDEX(choices!A:A,MATCH(M105,choices!A:A,0)+18),INDEX(choices!C:C,MATCH(M105,choices!A:A,0)+18),""),IF(M105=INDEX(choices!A:A,MATCH(M105,choices!A:A,0)+18), "
",""),IF(M105=INDEX(choices!A:A,MATCH(M105,choices!A:A,0)+19),INDEX(choices!C:C,MATCH(M105,choices!A:A,0)+19),""),IF(M105=INDEX(choices!A:A,MATCH(M105,choices!A:A,0)+19), "
",""),IF(M105=INDEX(choices!A:A,MATCH(M105,choices!A:A,0)+20),INDEX(choices!C:C,MATCH(M105,choices!A:A,0)+20),""),IF(M105=INDEX(choices!A:A,MATCH(M105,choices!A:A,0)+20), "
","")," ")</f>
        <v xml:space="preserve">1. نعم
2. لا
 </v>
      </c>
      <c r="H105">
        <f t="shared" si="26"/>
        <v>7</v>
      </c>
      <c r="I105" s="274" t="str">
        <f t="shared" si="21"/>
        <v>14411_7</v>
      </c>
      <c r="L105" s="267" t="s">
        <v>170</v>
      </c>
      <c r="M105" s="275" t="s">
        <v>17</v>
      </c>
      <c r="N105" s="271" t="str">
        <f t="shared" si="22"/>
        <v>q14411_7</v>
      </c>
      <c r="O105" s="306" t="str">
        <f t="shared" si="23"/>
        <v>14411_7. نيران</v>
      </c>
      <c r="P105" s="257" t="str">
        <f t="shared" si="24"/>
        <v>14411_7. Fire</v>
      </c>
      <c r="Q105" s="272"/>
      <c r="R105" s="272"/>
      <c r="S105" s="427" t="str">
        <f t="shared" si="25"/>
        <v xml:space="preserve">data('valid_overall') ==1 </v>
      </c>
      <c r="T105" s="262"/>
      <c r="U105" s="262"/>
      <c r="V105" s="262"/>
      <c r="W105" s="262"/>
      <c r="X105" s="262"/>
      <c r="Y105" s="271" t="b">
        <v>1</v>
      </c>
    </row>
    <row r="106" spans="1:31" ht="63">
      <c r="A106" s="48" t="str">
        <f t="shared" si="20"/>
        <v>q14411_8</v>
      </c>
      <c r="B106" s="276" t="s">
        <v>884</v>
      </c>
      <c r="C106" s="276"/>
      <c r="D106" s="268" t="str">
        <f>CONCATENATE(INDEX(choices!D:D,MATCH(M106,choices!A:A,0)),"
",IF(M106=INDEX(choices!A:A,MATCH(M106,choices!A:A,0)+1),INDEX(choices!D:D,MATCH(M106,choices!A:A,0)+1),""),IF(M106=INDEX(choices!A:A,MATCH(M106,choices!A:A,0)+1), "
",""),IF(M106=INDEX(choices!A:A,MATCH(M106,choices!A:A,0)+2),INDEX(choices!D:D,MATCH(M106,choices!A:A,0)+2),""),IF(M106=INDEX(choices!A:A,MATCH(M106,choices!A:A,0)+2), "
",""),IF(M106=INDEX(choices!A:A,MATCH(M106,choices!A:A,0)+3),INDEX(choices!D:D,MATCH(M106,choices!A:A,0)+3),""),IF(M106=INDEX(choices!A:A,MATCH(M106,choices!A:A,0)+3), "
",""),IF(M106=INDEX(choices!A:A,MATCH(M106,choices!A:A,0)+4),INDEX(choices!D:D,MATCH(M106,choices!A:A,0)+4),""),IF(M106=INDEX(choices!A:A,MATCH(M106,choices!A:A,0)+4), "
",""),IF(M106=INDEX(choices!A:A,MATCH(M106,choices!A:A,0)+5),INDEX(choices!D:D,MATCH(M106,choices!A:A,0)+5),""),IF(M106=INDEX(choices!A:A,MATCH(M106,choices!A:A,0)+5), "
",""),IF(M106=INDEX(choices!A:A,MATCH(M106,choices!A:A,0)+6),INDEX(choices!D:D,MATCH(M106,choices!A:A,0)+6),""),IF(M106=INDEX(choices!A:A,MATCH(M106,choices!A:A,0)+6), "
",""),IF(M106=INDEX(choices!A:A,MATCH(M106,choices!A:A,0)+7),INDEX(choices!D:D,MATCH(M106,choices!A:A,0)+7),""),IF(M106=INDEX(choices!A:A,MATCH(M106,choices!A:A,0)+7), "
",""),IF(M106=INDEX(choices!A:A,MATCH(M106,choices!A:A,0)+8),INDEX(choices!D:D,MATCH(M106,choices!A:A,0)+8),""),IF(M106=INDEX(choices!A:A,MATCH(M106,choices!A:A,0)+8), "
",""),IF(M106=INDEX(choices!A:A,MATCH(M106,choices!A:A,0)+9),INDEX(choices!D:D,MATCH(M106,choices!A:A,0)+9),""),IF(M106=INDEX(choices!A:A,MATCH(M106,choices!A:A,0)+9), "
",""),IF(M106=INDEX(choices!A:A,MATCH(M106,choices!A:A,0)+10),INDEX(choices!D:D,MATCH(M106,choices!A:A,0)+10),""),IF(M106=INDEX(choices!A:A,MATCH(M106,choices!A:A,0)+10), "
",""),IF(M106=INDEX(choices!A:A,MATCH(M106,choices!A:A,0)+11),INDEX(choices!D:D,MATCH(M106,choices!A:A,0)+11),""),IF(M106=INDEX(choices!A:A,MATCH(M106,choices!A:A,0)+11), "
",""),IF(M106=INDEX(choices!A:A,MATCH(M106,choices!A:A,0)+12),INDEX(choices!D:D,MATCH(M106,choices!A:A,0)+12),""),IF(M106=INDEX(choices!A:A,MATCH(M106,choices!A:A,0)+12), "
",""),IF(M106=INDEX(choices!A:A,MATCH(M106,choices!A:A,0)+13),INDEX(choices!D:D,MATCH(M106,choices!A:A,0)+13),""),IF(M106=INDEX(choices!A:A,MATCH(M106,choices!A:A,0)+13), "
",""),IF(M106=INDEX(choices!A:A,MATCH(M106,choices!A:A,0)+14),INDEX(choices!D:D,MATCH(M106,choices!A:A,0)+14),""),IF(M106=INDEX(choices!A:A,MATCH(M106,choices!A:A,0)+14), "
",""),IF(M106=INDEX(choices!A:A,MATCH(M106,choices!A:A,0)+15),INDEX(choices!D:D,MATCH(M106,choices!A:A,0)+15),""),IF(M106=INDEX(choices!A:A,MATCH(M106,choices!A:A,0)+15), "
",""),IF(M106=INDEX(choices!A:A,MATCH(M106,choices!A:A,0)+16),INDEX(choices!D:D,MATCH(M106,choices!A:A,0)+16),""),IF(M106=INDEX(choices!A:A,MATCH(M106,choices!A:A,0)+16), "
",""),IF(M106=INDEX(choices!A:A,MATCH(M106,choices!A:A,0)+17),INDEX(choices!D:D,MATCH(M106,choices!A:A,0)+17),""),IF(M106=INDEX(choices!A:A,MATCH(M106,choices!A:A,0)+17), "
",""),IF(M106=INDEX(choices!A:A,MATCH(M106,choices!A:A,0)+18),INDEX(choices!D:D,MATCH(M106,choices!A:A,0)+18),""),IF(M106=INDEX(choices!A:A,MATCH(M106,choices!A:A,0)+18), "
",""),IF(M106=INDEX(choices!A:A,MATCH(M106,choices!A:A,0)+19),INDEX(choices!D:D,MATCH(M106,choices!A:A,0)+19),""),IF(M106=INDEX(choices!A:A,MATCH(M106,choices!A:A,0)+19), "
",""),IF(M106=INDEX(choices!A:A,MATCH(M106,choices!A:A,0)+20),INDEX(choices!D:D,MATCH(M106,choices!A:A,0)+20),""),IF(M106=INDEX(choices!A:A,MATCH(M106,choices!A:A,0)+20), "
",""))</f>
        <v xml:space="preserve">1. Yes
2. No
</v>
      </c>
      <c r="E106" s="366" t="s">
        <v>1251</v>
      </c>
      <c r="F106" s="276"/>
      <c r="G106" s="273" t="str">
        <f>CONCATENATE(INDEX(choices!C:C,MATCH(M106,choices!A:A,0)),"
",IF(M106=INDEX(choices!A:A,MATCH(M106,choices!A:A,0)+1),INDEX(choices!C:C,MATCH(M106,choices!A:A,0)+1),""),IF(M106=INDEX(choices!A:A,MATCH(M106,choices!A:A,0)+1), "
",""),IF(M106=INDEX(choices!A:A,MATCH(M106,choices!A:A,0)+2),INDEX(choices!C:C,MATCH(M106,choices!A:A,0)+2),""),IF(M106=INDEX(choices!A:A,MATCH(M106,choices!A:A,0)+2), "
",""),IF(M106=INDEX(choices!A:A,MATCH(M106,choices!A:A,0)+3),INDEX(choices!C:C,MATCH(M106,choices!A:A,0)+3),""),IF(M106=INDEX(choices!A:A,MATCH(M106,choices!A:A,0)+3), "
",""),IF(M106=INDEX(choices!A:A,MATCH(M106,choices!A:A,0)+4),INDEX(choices!C:C,MATCH(M106,choices!A:A,0)+4),""),IF(M106=INDEX(choices!A:A,MATCH(M106,choices!A:A,0)+4), "
",""),IF(M106=INDEX(choices!A:A,MATCH(M106,choices!A:A,0)+5),INDEX(choices!C:C,MATCH(M106,choices!A:A,0)+5),""),IF(M106=INDEX(choices!A:A,MATCH(M106,choices!A:A,0)+5), "
",""),IF(M106=INDEX(choices!A:A,MATCH(M106,choices!A:A,0)+6),INDEX(choices!C:C,MATCH(M106,choices!A:A,0)+6),""),IF(M106=INDEX(choices!A:A,MATCH(M106,choices!A:A,0)+6), "
",""),IF(M106=INDEX(choices!A:A,MATCH(M106,choices!A:A,0)+7),INDEX(choices!C:C,MATCH(M106,choices!A:A,0)+7),""),IF(M106=INDEX(choices!A:A,MATCH(M106,choices!A:A,0)+7), "
",""),IF(M106=INDEX(choices!A:A,MATCH(M106,choices!A:A,0)+8),INDEX(choices!C:C,MATCH(M106,choices!A:A,0)+8),""),IF(M106=INDEX(choices!A:A,MATCH(M106,choices!A:A,0)+8), "
",""),IF(M106=INDEX(choices!A:A,MATCH(M106,choices!A:A,0)+9),INDEX(choices!C:C,MATCH(M106,choices!A:A,0)+9),""),IF(M106=INDEX(choices!A:A,MATCH(M106,choices!A:A,0)+9), "
",""),IF(M106=INDEX(choices!A:A,MATCH(M106,choices!A:A,0)+10),INDEX(choices!C:C,MATCH(M106,choices!A:A,0)+10),""),IF(M106=INDEX(choices!A:A,MATCH(M106,choices!A:A,0)+10), "
",""),IF(M106=INDEX(choices!A:A,MATCH(M106,choices!A:A,0)+11),INDEX(choices!C:C,MATCH(M106,choices!A:A,0)+11),""),IF(M106=INDEX(choices!A:A,MATCH(M106,choices!A:A,0)+11), "
",""),IF(M106=INDEX(choices!A:A,MATCH(M106,choices!A:A,0)+12),INDEX(choices!C:C,MATCH(M106,choices!A:A,0)+12),""),IF(M106=INDEX(choices!A:A,MATCH(M106,choices!A:A,0)+12), "
",""),IF(M106=INDEX(choices!A:A,MATCH(M106,choices!A:A,0)+13),INDEX(choices!C:C,MATCH(M106,choices!A:A,0)+13),""),IF(M106=INDEX(choices!A:A,MATCH(M106,choices!A:A,0)+13), "
",""),IF(M106=INDEX(choices!A:A,MATCH(M106,choices!A:A,0)+14),INDEX(choices!C:C,MATCH(M106,choices!A:A,0)+14),""),IF(M106=INDEX(choices!A:A,MATCH(M106,choices!A:A,0)+14), "
",""),IF(M106=INDEX(choices!A:A,MATCH(M106,choices!A:A,0)+15),INDEX(choices!C:C,MATCH(M106,choices!A:A,0)+15),""),IF(M106=INDEX(choices!A:A,MATCH(M106,choices!A:A,0)+15), "
",""),IF(M106=INDEX(choices!A:A,MATCH(M106,choices!A:A,0)+16),INDEX(choices!C:C,MATCH(M106,choices!A:A,0)+16),""),IF(M106=INDEX(choices!A:A,MATCH(M106,choices!A:A,0)+16), "
",""),IF(M106=INDEX(choices!A:A,MATCH(M106,choices!A:A,0)+17),INDEX(choices!C:C,MATCH(M106,choices!A:A,0)+17),""),IF(M106=INDEX(choices!A:A,MATCH(M106,choices!A:A,0)+17), "
",""),IF(M106=INDEX(choices!A:A,MATCH(M106,choices!A:A,0)+18),INDEX(choices!C:C,MATCH(M106,choices!A:A,0)+18),""),IF(M106=INDEX(choices!A:A,MATCH(M106,choices!A:A,0)+18), "
",""),IF(M106=INDEX(choices!A:A,MATCH(M106,choices!A:A,0)+19),INDEX(choices!C:C,MATCH(M106,choices!A:A,0)+19),""),IF(M106=INDEX(choices!A:A,MATCH(M106,choices!A:A,0)+19), "
",""),IF(M106=INDEX(choices!A:A,MATCH(M106,choices!A:A,0)+20),INDEX(choices!C:C,MATCH(M106,choices!A:A,0)+20),""),IF(M106=INDEX(choices!A:A,MATCH(M106,choices!A:A,0)+20), "
","")," ")</f>
        <v xml:space="preserve">1. نعم
2. لا
 </v>
      </c>
      <c r="H106">
        <f t="shared" si="26"/>
        <v>8</v>
      </c>
      <c r="I106" s="274" t="str">
        <f t="shared" si="21"/>
        <v>14411_8</v>
      </c>
      <c r="L106" s="267" t="s">
        <v>170</v>
      </c>
      <c r="M106" s="275" t="s">
        <v>17</v>
      </c>
      <c r="N106" s="271" t="str">
        <f t="shared" si="22"/>
        <v>q14411_8</v>
      </c>
      <c r="O106" s="306" t="str">
        <f t="shared" si="23"/>
        <v>14411_8. ارتفاع تكاليف المدخلات الزراعية (البذور والأسمدة وما إلى ذلك)</v>
      </c>
      <c r="P106" s="257" t="str">
        <f t="shared" si="24"/>
        <v>14411_8. high costs of agricultural inputs (seed, fertilizer, etc.)</v>
      </c>
      <c r="Q106" s="272"/>
      <c r="R106" s="272"/>
      <c r="S106" s="427" t="str">
        <f t="shared" si="25"/>
        <v xml:space="preserve">data('valid_overall') ==1 </v>
      </c>
      <c r="T106" s="262"/>
      <c r="U106" s="262"/>
      <c r="V106" s="262"/>
      <c r="W106" s="262"/>
      <c r="X106" s="262"/>
      <c r="Y106" s="271" t="b">
        <v>1</v>
      </c>
    </row>
    <row r="107" spans="1:31" ht="39">
      <c r="A107" s="48" t="str">
        <f t="shared" si="20"/>
        <v>q14411_9</v>
      </c>
      <c r="B107" s="276" t="s">
        <v>885</v>
      </c>
      <c r="C107" s="276"/>
      <c r="D107" s="268" t="str">
        <f>CONCATENATE(INDEX(choices!D:D,MATCH(M107,choices!A:A,0)),"
",IF(M107=INDEX(choices!A:A,MATCH(M107,choices!A:A,0)+1),INDEX(choices!D:D,MATCH(M107,choices!A:A,0)+1),""),IF(M107=INDEX(choices!A:A,MATCH(M107,choices!A:A,0)+1), "
",""),IF(M107=INDEX(choices!A:A,MATCH(M107,choices!A:A,0)+2),INDEX(choices!D:D,MATCH(M107,choices!A:A,0)+2),""),IF(M107=INDEX(choices!A:A,MATCH(M107,choices!A:A,0)+2), "
",""),IF(M107=INDEX(choices!A:A,MATCH(M107,choices!A:A,0)+3),INDEX(choices!D:D,MATCH(M107,choices!A:A,0)+3),""),IF(M107=INDEX(choices!A:A,MATCH(M107,choices!A:A,0)+3), "
",""),IF(M107=INDEX(choices!A:A,MATCH(M107,choices!A:A,0)+4),INDEX(choices!D:D,MATCH(M107,choices!A:A,0)+4),""),IF(M107=INDEX(choices!A:A,MATCH(M107,choices!A:A,0)+4), "
",""),IF(M107=INDEX(choices!A:A,MATCH(M107,choices!A:A,0)+5),INDEX(choices!D:D,MATCH(M107,choices!A:A,0)+5),""),IF(M107=INDEX(choices!A:A,MATCH(M107,choices!A:A,0)+5), "
",""),IF(M107=INDEX(choices!A:A,MATCH(M107,choices!A:A,0)+6),INDEX(choices!D:D,MATCH(M107,choices!A:A,0)+6),""),IF(M107=INDEX(choices!A:A,MATCH(M107,choices!A:A,0)+6), "
",""),IF(M107=INDEX(choices!A:A,MATCH(M107,choices!A:A,0)+7),INDEX(choices!D:D,MATCH(M107,choices!A:A,0)+7),""),IF(M107=INDEX(choices!A:A,MATCH(M107,choices!A:A,0)+7), "
",""),IF(M107=INDEX(choices!A:A,MATCH(M107,choices!A:A,0)+8),INDEX(choices!D:D,MATCH(M107,choices!A:A,0)+8),""),IF(M107=INDEX(choices!A:A,MATCH(M107,choices!A:A,0)+8), "
",""),IF(M107=INDEX(choices!A:A,MATCH(M107,choices!A:A,0)+9),INDEX(choices!D:D,MATCH(M107,choices!A:A,0)+9),""),IF(M107=INDEX(choices!A:A,MATCH(M107,choices!A:A,0)+9), "
",""),IF(M107=INDEX(choices!A:A,MATCH(M107,choices!A:A,0)+10),INDEX(choices!D:D,MATCH(M107,choices!A:A,0)+10),""),IF(M107=INDEX(choices!A:A,MATCH(M107,choices!A:A,0)+10), "
",""),IF(M107=INDEX(choices!A:A,MATCH(M107,choices!A:A,0)+11),INDEX(choices!D:D,MATCH(M107,choices!A:A,0)+11),""),IF(M107=INDEX(choices!A:A,MATCH(M107,choices!A:A,0)+11), "
",""),IF(M107=INDEX(choices!A:A,MATCH(M107,choices!A:A,0)+12),INDEX(choices!D:D,MATCH(M107,choices!A:A,0)+12),""),IF(M107=INDEX(choices!A:A,MATCH(M107,choices!A:A,0)+12), "
",""),IF(M107=INDEX(choices!A:A,MATCH(M107,choices!A:A,0)+13),INDEX(choices!D:D,MATCH(M107,choices!A:A,0)+13),""),IF(M107=INDEX(choices!A:A,MATCH(M107,choices!A:A,0)+13), "
",""),IF(M107=INDEX(choices!A:A,MATCH(M107,choices!A:A,0)+14),INDEX(choices!D:D,MATCH(M107,choices!A:A,0)+14),""),IF(M107=INDEX(choices!A:A,MATCH(M107,choices!A:A,0)+14), "
",""),IF(M107=INDEX(choices!A:A,MATCH(M107,choices!A:A,0)+15),INDEX(choices!D:D,MATCH(M107,choices!A:A,0)+15),""),IF(M107=INDEX(choices!A:A,MATCH(M107,choices!A:A,0)+15), "
",""),IF(M107=INDEX(choices!A:A,MATCH(M107,choices!A:A,0)+16),INDEX(choices!D:D,MATCH(M107,choices!A:A,0)+16),""),IF(M107=INDEX(choices!A:A,MATCH(M107,choices!A:A,0)+16), "
",""),IF(M107=INDEX(choices!A:A,MATCH(M107,choices!A:A,0)+17),INDEX(choices!D:D,MATCH(M107,choices!A:A,0)+17),""),IF(M107=INDEX(choices!A:A,MATCH(M107,choices!A:A,0)+17), "
",""),IF(M107=INDEX(choices!A:A,MATCH(M107,choices!A:A,0)+18),INDEX(choices!D:D,MATCH(M107,choices!A:A,0)+18),""),IF(M107=INDEX(choices!A:A,MATCH(M107,choices!A:A,0)+18), "
",""),IF(M107=INDEX(choices!A:A,MATCH(M107,choices!A:A,0)+19),INDEX(choices!D:D,MATCH(M107,choices!A:A,0)+19),""),IF(M107=INDEX(choices!A:A,MATCH(M107,choices!A:A,0)+19), "
",""),IF(M107=INDEX(choices!A:A,MATCH(M107,choices!A:A,0)+20),INDEX(choices!D:D,MATCH(M107,choices!A:A,0)+20),""),IF(M107=INDEX(choices!A:A,MATCH(M107,choices!A:A,0)+20), "
",""))</f>
        <v xml:space="preserve">1. Yes
2. No
</v>
      </c>
      <c r="E107" s="367" t="s">
        <v>1252</v>
      </c>
      <c r="F107" s="276"/>
      <c r="G107" s="273" t="str">
        <f>CONCATENATE(INDEX(choices!C:C,MATCH(M107,choices!A:A,0)),"
",IF(M107=INDEX(choices!A:A,MATCH(M107,choices!A:A,0)+1),INDEX(choices!C:C,MATCH(M107,choices!A:A,0)+1),""),IF(M107=INDEX(choices!A:A,MATCH(M107,choices!A:A,0)+1), "
",""),IF(M107=INDEX(choices!A:A,MATCH(M107,choices!A:A,0)+2),INDEX(choices!C:C,MATCH(M107,choices!A:A,0)+2),""),IF(M107=INDEX(choices!A:A,MATCH(M107,choices!A:A,0)+2), "
",""),IF(M107=INDEX(choices!A:A,MATCH(M107,choices!A:A,0)+3),INDEX(choices!C:C,MATCH(M107,choices!A:A,0)+3),""),IF(M107=INDEX(choices!A:A,MATCH(M107,choices!A:A,0)+3), "
",""),IF(M107=INDEX(choices!A:A,MATCH(M107,choices!A:A,0)+4),INDEX(choices!C:C,MATCH(M107,choices!A:A,0)+4),""),IF(M107=INDEX(choices!A:A,MATCH(M107,choices!A:A,0)+4), "
",""),IF(M107=INDEX(choices!A:A,MATCH(M107,choices!A:A,0)+5),INDEX(choices!C:C,MATCH(M107,choices!A:A,0)+5),""),IF(M107=INDEX(choices!A:A,MATCH(M107,choices!A:A,0)+5), "
",""),IF(M107=INDEX(choices!A:A,MATCH(M107,choices!A:A,0)+6),INDEX(choices!C:C,MATCH(M107,choices!A:A,0)+6),""),IF(M107=INDEX(choices!A:A,MATCH(M107,choices!A:A,0)+6), "
",""),IF(M107=INDEX(choices!A:A,MATCH(M107,choices!A:A,0)+7),INDEX(choices!C:C,MATCH(M107,choices!A:A,0)+7),""),IF(M107=INDEX(choices!A:A,MATCH(M107,choices!A:A,0)+7), "
",""),IF(M107=INDEX(choices!A:A,MATCH(M107,choices!A:A,0)+8),INDEX(choices!C:C,MATCH(M107,choices!A:A,0)+8),""),IF(M107=INDEX(choices!A:A,MATCH(M107,choices!A:A,0)+8), "
",""),IF(M107=INDEX(choices!A:A,MATCH(M107,choices!A:A,0)+9),INDEX(choices!C:C,MATCH(M107,choices!A:A,0)+9),""),IF(M107=INDEX(choices!A:A,MATCH(M107,choices!A:A,0)+9), "
",""),IF(M107=INDEX(choices!A:A,MATCH(M107,choices!A:A,0)+10),INDEX(choices!C:C,MATCH(M107,choices!A:A,0)+10),""),IF(M107=INDEX(choices!A:A,MATCH(M107,choices!A:A,0)+10), "
",""),IF(M107=INDEX(choices!A:A,MATCH(M107,choices!A:A,0)+11),INDEX(choices!C:C,MATCH(M107,choices!A:A,0)+11),""),IF(M107=INDEX(choices!A:A,MATCH(M107,choices!A:A,0)+11), "
",""),IF(M107=INDEX(choices!A:A,MATCH(M107,choices!A:A,0)+12),INDEX(choices!C:C,MATCH(M107,choices!A:A,0)+12),""),IF(M107=INDEX(choices!A:A,MATCH(M107,choices!A:A,0)+12), "
",""),IF(M107=INDEX(choices!A:A,MATCH(M107,choices!A:A,0)+13),INDEX(choices!C:C,MATCH(M107,choices!A:A,0)+13),""),IF(M107=INDEX(choices!A:A,MATCH(M107,choices!A:A,0)+13), "
",""),IF(M107=INDEX(choices!A:A,MATCH(M107,choices!A:A,0)+14),INDEX(choices!C:C,MATCH(M107,choices!A:A,0)+14),""),IF(M107=INDEX(choices!A:A,MATCH(M107,choices!A:A,0)+14), "
",""),IF(M107=INDEX(choices!A:A,MATCH(M107,choices!A:A,0)+15),INDEX(choices!C:C,MATCH(M107,choices!A:A,0)+15),""),IF(M107=INDEX(choices!A:A,MATCH(M107,choices!A:A,0)+15), "
",""),IF(M107=INDEX(choices!A:A,MATCH(M107,choices!A:A,0)+16),INDEX(choices!C:C,MATCH(M107,choices!A:A,0)+16),""),IF(M107=INDEX(choices!A:A,MATCH(M107,choices!A:A,0)+16), "
",""),IF(M107=INDEX(choices!A:A,MATCH(M107,choices!A:A,0)+17),INDEX(choices!C:C,MATCH(M107,choices!A:A,0)+17),""),IF(M107=INDEX(choices!A:A,MATCH(M107,choices!A:A,0)+17), "
",""),IF(M107=INDEX(choices!A:A,MATCH(M107,choices!A:A,0)+18),INDEX(choices!C:C,MATCH(M107,choices!A:A,0)+18),""),IF(M107=INDEX(choices!A:A,MATCH(M107,choices!A:A,0)+18), "
",""),IF(M107=INDEX(choices!A:A,MATCH(M107,choices!A:A,0)+19),INDEX(choices!C:C,MATCH(M107,choices!A:A,0)+19),""),IF(M107=INDEX(choices!A:A,MATCH(M107,choices!A:A,0)+19), "
",""),IF(M107=INDEX(choices!A:A,MATCH(M107,choices!A:A,0)+20),INDEX(choices!C:C,MATCH(M107,choices!A:A,0)+20),""),IF(M107=INDEX(choices!A:A,MATCH(M107,choices!A:A,0)+20), "
","")," ")</f>
        <v xml:space="preserve">1. نعم
2. لا
 </v>
      </c>
      <c r="H107">
        <f t="shared" si="26"/>
        <v>9</v>
      </c>
      <c r="I107" s="274" t="str">
        <f t="shared" si="21"/>
        <v>14411_9</v>
      </c>
      <c r="L107" s="267" t="s">
        <v>170</v>
      </c>
      <c r="M107" s="275" t="s">
        <v>17</v>
      </c>
      <c r="N107" s="271" t="str">
        <f t="shared" si="22"/>
        <v>q14411_9</v>
      </c>
      <c r="O107" s="306" t="str">
        <f t="shared" si="23"/>
        <v>14411_9. نقص أو فقدان العمل</v>
      </c>
      <c r="P107" s="257" t="str">
        <f t="shared" si="24"/>
        <v>14411_9. Lack or loss of employment</v>
      </c>
      <c r="Q107" s="272"/>
      <c r="R107" s="272"/>
      <c r="S107" s="427" t="str">
        <f t="shared" si="25"/>
        <v xml:space="preserve">data('valid_overall') ==1 </v>
      </c>
      <c r="T107" s="262"/>
      <c r="U107" s="262"/>
      <c r="V107" s="262"/>
      <c r="W107" s="262"/>
      <c r="X107" s="262"/>
      <c r="Y107" s="271" t="b">
        <v>1</v>
      </c>
    </row>
    <row r="108" spans="1:31" ht="47.25">
      <c r="A108" s="48" t="str">
        <f t="shared" si="20"/>
        <v>q14411_10</v>
      </c>
      <c r="B108" s="276" t="s">
        <v>886</v>
      </c>
      <c r="C108" s="276"/>
      <c r="D108" s="268" t="str">
        <f>CONCATENATE(INDEX(choices!D:D,MATCH(M108,choices!A:A,0)),"
",IF(M108=INDEX(choices!A:A,MATCH(M108,choices!A:A,0)+1),INDEX(choices!D:D,MATCH(M108,choices!A:A,0)+1),""),IF(M108=INDEX(choices!A:A,MATCH(M108,choices!A:A,0)+1), "
",""),IF(M108=INDEX(choices!A:A,MATCH(M108,choices!A:A,0)+2),INDEX(choices!D:D,MATCH(M108,choices!A:A,0)+2),""),IF(M108=INDEX(choices!A:A,MATCH(M108,choices!A:A,0)+2), "
",""),IF(M108=INDEX(choices!A:A,MATCH(M108,choices!A:A,0)+3),INDEX(choices!D:D,MATCH(M108,choices!A:A,0)+3),""),IF(M108=INDEX(choices!A:A,MATCH(M108,choices!A:A,0)+3), "
",""),IF(M108=INDEX(choices!A:A,MATCH(M108,choices!A:A,0)+4),INDEX(choices!D:D,MATCH(M108,choices!A:A,0)+4),""),IF(M108=INDEX(choices!A:A,MATCH(M108,choices!A:A,0)+4), "
",""),IF(M108=INDEX(choices!A:A,MATCH(M108,choices!A:A,0)+5),INDEX(choices!D:D,MATCH(M108,choices!A:A,0)+5),""),IF(M108=INDEX(choices!A:A,MATCH(M108,choices!A:A,0)+5), "
",""),IF(M108=INDEX(choices!A:A,MATCH(M108,choices!A:A,0)+6),INDEX(choices!D:D,MATCH(M108,choices!A:A,0)+6),""),IF(M108=INDEX(choices!A:A,MATCH(M108,choices!A:A,0)+6), "
",""),IF(M108=INDEX(choices!A:A,MATCH(M108,choices!A:A,0)+7),INDEX(choices!D:D,MATCH(M108,choices!A:A,0)+7),""),IF(M108=INDEX(choices!A:A,MATCH(M108,choices!A:A,0)+7), "
",""),IF(M108=INDEX(choices!A:A,MATCH(M108,choices!A:A,0)+8),INDEX(choices!D:D,MATCH(M108,choices!A:A,0)+8),""),IF(M108=INDEX(choices!A:A,MATCH(M108,choices!A:A,0)+8), "
",""),IF(M108=INDEX(choices!A:A,MATCH(M108,choices!A:A,0)+9),INDEX(choices!D:D,MATCH(M108,choices!A:A,0)+9),""),IF(M108=INDEX(choices!A:A,MATCH(M108,choices!A:A,0)+9), "
",""),IF(M108=INDEX(choices!A:A,MATCH(M108,choices!A:A,0)+10),INDEX(choices!D:D,MATCH(M108,choices!A:A,0)+10),""),IF(M108=INDEX(choices!A:A,MATCH(M108,choices!A:A,0)+10), "
",""),IF(M108=INDEX(choices!A:A,MATCH(M108,choices!A:A,0)+11),INDEX(choices!D:D,MATCH(M108,choices!A:A,0)+11),""),IF(M108=INDEX(choices!A:A,MATCH(M108,choices!A:A,0)+11), "
",""),IF(M108=INDEX(choices!A:A,MATCH(M108,choices!A:A,0)+12),INDEX(choices!D:D,MATCH(M108,choices!A:A,0)+12),""),IF(M108=INDEX(choices!A:A,MATCH(M108,choices!A:A,0)+12), "
",""),IF(M108=INDEX(choices!A:A,MATCH(M108,choices!A:A,0)+13),INDEX(choices!D:D,MATCH(M108,choices!A:A,0)+13),""),IF(M108=INDEX(choices!A:A,MATCH(M108,choices!A:A,0)+13), "
",""),IF(M108=INDEX(choices!A:A,MATCH(M108,choices!A:A,0)+14),INDEX(choices!D:D,MATCH(M108,choices!A:A,0)+14),""),IF(M108=INDEX(choices!A:A,MATCH(M108,choices!A:A,0)+14), "
",""),IF(M108=INDEX(choices!A:A,MATCH(M108,choices!A:A,0)+15),INDEX(choices!D:D,MATCH(M108,choices!A:A,0)+15),""),IF(M108=INDEX(choices!A:A,MATCH(M108,choices!A:A,0)+15), "
",""),IF(M108=INDEX(choices!A:A,MATCH(M108,choices!A:A,0)+16),INDEX(choices!D:D,MATCH(M108,choices!A:A,0)+16),""),IF(M108=INDEX(choices!A:A,MATCH(M108,choices!A:A,0)+16), "
",""),IF(M108=INDEX(choices!A:A,MATCH(M108,choices!A:A,0)+17),INDEX(choices!D:D,MATCH(M108,choices!A:A,0)+17),""),IF(M108=INDEX(choices!A:A,MATCH(M108,choices!A:A,0)+17), "
",""),IF(M108=INDEX(choices!A:A,MATCH(M108,choices!A:A,0)+18),INDEX(choices!D:D,MATCH(M108,choices!A:A,0)+18),""),IF(M108=INDEX(choices!A:A,MATCH(M108,choices!A:A,0)+18), "
",""),IF(M108=INDEX(choices!A:A,MATCH(M108,choices!A:A,0)+19),INDEX(choices!D:D,MATCH(M108,choices!A:A,0)+19),""),IF(M108=INDEX(choices!A:A,MATCH(M108,choices!A:A,0)+19), "
",""),IF(M108=INDEX(choices!A:A,MATCH(M108,choices!A:A,0)+20),INDEX(choices!D:D,MATCH(M108,choices!A:A,0)+20),""),IF(M108=INDEX(choices!A:A,MATCH(M108,choices!A:A,0)+20), "
",""))</f>
        <v xml:space="preserve">1. Yes
2. No
</v>
      </c>
      <c r="E108" s="366" t="s">
        <v>1253</v>
      </c>
      <c r="F108" s="276"/>
      <c r="G108" s="273" t="str">
        <f>CONCATENATE(INDEX(choices!C:C,MATCH(M108,choices!A:A,0)),"
",IF(M108=INDEX(choices!A:A,MATCH(M108,choices!A:A,0)+1),INDEX(choices!C:C,MATCH(M108,choices!A:A,0)+1),""),IF(M108=INDEX(choices!A:A,MATCH(M108,choices!A:A,0)+1), "
",""),IF(M108=INDEX(choices!A:A,MATCH(M108,choices!A:A,0)+2),INDEX(choices!C:C,MATCH(M108,choices!A:A,0)+2),""),IF(M108=INDEX(choices!A:A,MATCH(M108,choices!A:A,0)+2), "
",""),IF(M108=INDEX(choices!A:A,MATCH(M108,choices!A:A,0)+3),INDEX(choices!C:C,MATCH(M108,choices!A:A,0)+3),""),IF(M108=INDEX(choices!A:A,MATCH(M108,choices!A:A,0)+3), "
",""),IF(M108=INDEX(choices!A:A,MATCH(M108,choices!A:A,0)+4),INDEX(choices!C:C,MATCH(M108,choices!A:A,0)+4),""),IF(M108=INDEX(choices!A:A,MATCH(M108,choices!A:A,0)+4), "
",""),IF(M108=INDEX(choices!A:A,MATCH(M108,choices!A:A,0)+5),INDEX(choices!C:C,MATCH(M108,choices!A:A,0)+5),""),IF(M108=INDEX(choices!A:A,MATCH(M108,choices!A:A,0)+5), "
",""),IF(M108=INDEX(choices!A:A,MATCH(M108,choices!A:A,0)+6),INDEX(choices!C:C,MATCH(M108,choices!A:A,0)+6),""),IF(M108=INDEX(choices!A:A,MATCH(M108,choices!A:A,0)+6), "
",""),IF(M108=INDEX(choices!A:A,MATCH(M108,choices!A:A,0)+7),INDEX(choices!C:C,MATCH(M108,choices!A:A,0)+7),""),IF(M108=INDEX(choices!A:A,MATCH(M108,choices!A:A,0)+7), "
",""),IF(M108=INDEX(choices!A:A,MATCH(M108,choices!A:A,0)+8),INDEX(choices!C:C,MATCH(M108,choices!A:A,0)+8),""),IF(M108=INDEX(choices!A:A,MATCH(M108,choices!A:A,0)+8), "
",""),IF(M108=INDEX(choices!A:A,MATCH(M108,choices!A:A,0)+9),INDEX(choices!C:C,MATCH(M108,choices!A:A,0)+9),""),IF(M108=INDEX(choices!A:A,MATCH(M108,choices!A:A,0)+9), "
",""),IF(M108=INDEX(choices!A:A,MATCH(M108,choices!A:A,0)+10),INDEX(choices!C:C,MATCH(M108,choices!A:A,0)+10),""),IF(M108=INDEX(choices!A:A,MATCH(M108,choices!A:A,0)+10), "
",""),IF(M108=INDEX(choices!A:A,MATCH(M108,choices!A:A,0)+11),INDEX(choices!C:C,MATCH(M108,choices!A:A,0)+11),""),IF(M108=INDEX(choices!A:A,MATCH(M108,choices!A:A,0)+11), "
",""),IF(M108=INDEX(choices!A:A,MATCH(M108,choices!A:A,0)+12),INDEX(choices!C:C,MATCH(M108,choices!A:A,0)+12),""),IF(M108=INDEX(choices!A:A,MATCH(M108,choices!A:A,0)+12), "
",""),IF(M108=INDEX(choices!A:A,MATCH(M108,choices!A:A,0)+13),INDEX(choices!C:C,MATCH(M108,choices!A:A,0)+13),""),IF(M108=INDEX(choices!A:A,MATCH(M108,choices!A:A,0)+13), "
",""),IF(M108=INDEX(choices!A:A,MATCH(M108,choices!A:A,0)+14),INDEX(choices!C:C,MATCH(M108,choices!A:A,0)+14),""),IF(M108=INDEX(choices!A:A,MATCH(M108,choices!A:A,0)+14), "
",""),IF(M108=INDEX(choices!A:A,MATCH(M108,choices!A:A,0)+15),INDEX(choices!C:C,MATCH(M108,choices!A:A,0)+15),""),IF(M108=INDEX(choices!A:A,MATCH(M108,choices!A:A,0)+15), "
",""),IF(M108=INDEX(choices!A:A,MATCH(M108,choices!A:A,0)+16),INDEX(choices!C:C,MATCH(M108,choices!A:A,0)+16),""),IF(M108=INDEX(choices!A:A,MATCH(M108,choices!A:A,0)+16), "
",""),IF(M108=INDEX(choices!A:A,MATCH(M108,choices!A:A,0)+17),INDEX(choices!C:C,MATCH(M108,choices!A:A,0)+17),""),IF(M108=INDEX(choices!A:A,MATCH(M108,choices!A:A,0)+17), "
",""),IF(M108=INDEX(choices!A:A,MATCH(M108,choices!A:A,0)+18),INDEX(choices!C:C,MATCH(M108,choices!A:A,0)+18),""),IF(M108=INDEX(choices!A:A,MATCH(M108,choices!A:A,0)+18), "
",""),IF(M108=INDEX(choices!A:A,MATCH(M108,choices!A:A,0)+19),INDEX(choices!C:C,MATCH(M108,choices!A:A,0)+19),""),IF(M108=INDEX(choices!A:A,MATCH(M108,choices!A:A,0)+19), "
",""),IF(M108=INDEX(choices!A:A,MATCH(M108,choices!A:A,0)+20),INDEX(choices!C:C,MATCH(M108,choices!A:A,0)+20),""),IF(M108=INDEX(choices!A:A,MATCH(M108,choices!A:A,0)+20), "
","")," ")</f>
        <v xml:space="preserve">1. نعم
2. لا
 </v>
      </c>
      <c r="H108">
        <f t="shared" si="26"/>
        <v>10</v>
      </c>
      <c r="I108" s="274" t="str">
        <f t="shared" si="21"/>
        <v>14411_10</v>
      </c>
      <c r="L108" s="267" t="s">
        <v>170</v>
      </c>
      <c r="M108" s="275" t="s">
        <v>17</v>
      </c>
      <c r="N108" s="271" t="str">
        <f t="shared" si="22"/>
        <v>q14411_10</v>
      </c>
      <c r="O108" s="306" t="str">
        <f t="shared" si="23"/>
        <v>14411_10. مستوى متقدم من المرض البشري</v>
      </c>
      <c r="P108" s="257" t="str">
        <f t="shared" si="24"/>
        <v>14411_10. Unusually high level of human disease</v>
      </c>
      <c r="Q108" s="272"/>
      <c r="R108" s="272"/>
      <c r="S108" s="427" t="str">
        <f t="shared" si="25"/>
        <v xml:space="preserve">data('valid_overall') ==1 </v>
      </c>
      <c r="T108" s="262"/>
      <c r="U108" s="262"/>
      <c r="V108" s="262"/>
      <c r="W108" s="262"/>
      <c r="X108" s="262"/>
      <c r="Y108" s="271" t="b">
        <v>1</v>
      </c>
    </row>
    <row r="109" spans="1:31" ht="47.25">
      <c r="A109" s="48" t="str">
        <f t="shared" si="20"/>
        <v>q14411_11</v>
      </c>
      <c r="B109" s="276" t="s">
        <v>887</v>
      </c>
      <c r="C109" s="276"/>
      <c r="D109" s="268" t="str">
        <f>CONCATENATE(INDEX(choices!D:D,MATCH(M109,choices!A:A,0)),"
",IF(M109=INDEX(choices!A:A,MATCH(M109,choices!A:A,0)+1),INDEX(choices!D:D,MATCH(M109,choices!A:A,0)+1),""),IF(M109=INDEX(choices!A:A,MATCH(M109,choices!A:A,0)+1), "
",""),IF(M109=INDEX(choices!A:A,MATCH(M109,choices!A:A,0)+2),INDEX(choices!D:D,MATCH(M109,choices!A:A,0)+2),""),IF(M109=INDEX(choices!A:A,MATCH(M109,choices!A:A,0)+2), "
",""),IF(M109=INDEX(choices!A:A,MATCH(M109,choices!A:A,0)+3),INDEX(choices!D:D,MATCH(M109,choices!A:A,0)+3),""),IF(M109=INDEX(choices!A:A,MATCH(M109,choices!A:A,0)+3), "
",""),IF(M109=INDEX(choices!A:A,MATCH(M109,choices!A:A,0)+4),INDEX(choices!D:D,MATCH(M109,choices!A:A,0)+4),""),IF(M109=INDEX(choices!A:A,MATCH(M109,choices!A:A,0)+4), "
",""),IF(M109=INDEX(choices!A:A,MATCH(M109,choices!A:A,0)+5),INDEX(choices!D:D,MATCH(M109,choices!A:A,0)+5),""),IF(M109=INDEX(choices!A:A,MATCH(M109,choices!A:A,0)+5), "
",""),IF(M109=INDEX(choices!A:A,MATCH(M109,choices!A:A,0)+6),INDEX(choices!D:D,MATCH(M109,choices!A:A,0)+6),""),IF(M109=INDEX(choices!A:A,MATCH(M109,choices!A:A,0)+6), "
",""),IF(M109=INDEX(choices!A:A,MATCH(M109,choices!A:A,0)+7),INDEX(choices!D:D,MATCH(M109,choices!A:A,0)+7),""),IF(M109=INDEX(choices!A:A,MATCH(M109,choices!A:A,0)+7), "
",""),IF(M109=INDEX(choices!A:A,MATCH(M109,choices!A:A,0)+8),INDEX(choices!D:D,MATCH(M109,choices!A:A,0)+8),""),IF(M109=INDEX(choices!A:A,MATCH(M109,choices!A:A,0)+8), "
",""),IF(M109=INDEX(choices!A:A,MATCH(M109,choices!A:A,0)+9),INDEX(choices!D:D,MATCH(M109,choices!A:A,0)+9),""),IF(M109=INDEX(choices!A:A,MATCH(M109,choices!A:A,0)+9), "
",""),IF(M109=INDEX(choices!A:A,MATCH(M109,choices!A:A,0)+10),INDEX(choices!D:D,MATCH(M109,choices!A:A,0)+10),""),IF(M109=INDEX(choices!A:A,MATCH(M109,choices!A:A,0)+10), "
",""),IF(M109=INDEX(choices!A:A,MATCH(M109,choices!A:A,0)+11),INDEX(choices!D:D,MATCH(M109,choices!A:A,0)+11),""),IF(M109=INDEX(choices!A:A,MATCH(M109,choices!A:A,0)+11), "
",""),IF(M109=INDEX(choices!A:A,MATCH(M109,choices!A:A,0)+12),INDEX(choices!D:D,MATCH(M109,choices!A:A,0)+12),""),IF(M109=INDEX(choices!A:A,MATCH(M109,choices!A:A,0)+12), "
",""),IF(M109=INDEX(choices!A:A,MATCH(M109,choices!A:A,0)+13),INDEX(choices!D:D,MATCH(M109,choices!A:A,0)+13),""),IF(M109=INDEX(choices!A:A,MATCH(M109,choices!A:A,0)+13), "
",""),IF(M109=INDEX(choices!A:A,MATCH(M109,choices!A:A,0)+14),INDEX(choices!D:D,MATCH(M109,choices!A:A,0)+14),""),IF(M109=INDEX(choices!A:A,MATCH(M109,choices!A:A,0)+14), "
",""),IF(M109=INDEX(choices!A:A,MATCH(M109,choices!A:A,0)+15),INDEX(choices!D:D,MATCH(M109,choices!A:A,0)+15),""),IF(M109=INDEX(choices!A:A,MATCH(M109,choices!A:A,0)+15), "
",""),IF(M109=INDEX(choices!A:A,MATCH(M109,choices!A:A,0)+16),INDEX(choices!D:D,MATCH(M109,choices!A:A,0)+16),""),IF(M109=INDEX(choices!A:A,MATCH(M109,choices!A:A,0)+16), "
",""),IF(M109=INDEX(choices!A:A,MATCH(M109,choices!A:A,0)+17),INDEX(choices!D:D,MATCH(M109,choices!A:A,0)+17),""),IF(M109=INDEX(choices!A:A,MATCH(M109,choices!A:A,0)+17), "
",""),IF(M109=INDEX(choices!A:A,MATCH(M109,choices!A:A,0)+18),INDEX(choices!D:D,MATCH(M109,choices!A:A,0)+18),""),IF(M109=INDEX(choices!A:A,MATCH(M109,choices!A:A,0)+18), "
",""),IF(M109=INDEX(choices!A:A,MATCH(M109,choices!A:A,0)+19),INDEX(choices!D:D,MATCH(M109,choices!A:A,0)+19),""),IF(M109=INDEX(choices!A:A,MATCH(M109,choices!A:A,0)+19), "
",""),IF(M109=INDEX(choices!A:A,MATCH(M109,choices!A:A,0)+20),INDEX(choices!D:D,MATCH(M109,choices!A:A,0)+20),""),IF(M109=INDEX(choices!A:A,MATCH(M109,choices!A:A,0)+20), "
",""))</f>
        <v xml:space="preserve">1. Yes
2. No
</v>
      </c>
      <c r="E109" s="367" t="s">
        <v>1254</v>
      </c>
      <c r="F109" s="276"/>
      <c r="G109" s="273" t="str">
        <f>CONCATENATE(INDEX(choices!C:C,MATCH(M109,choices!A:A,0)),"
",IF(M109=INDEX(choices!A:A,MATCH(M109,choices!A:A,0)+1),INDEX(choices!C:C,MATCH(M109,choices!A:A,0)+1),""),IF(M109=INDEX(choices!A:A,MATCH(M109,choices!A:A,0)+1), "
",""),IF(M109=INDEX(choices!A:A,MATCH(M109,choices!A:A,0)+2),INDEX(choices!C:C,MATCH(M109,choices!A:A,0)+2),""),IF(M109=INDEX(choices!A:A,MATCH(M109,choices!A:A,0)+2), "
",""),IF(M109=INDEX(choices!A:A,MATCH(M109,choices!A:A,0)+3),INDEX(choices!C:C,MATCH(M109,choices!A:A,0)+3),""),IF(M109=INDEX(choices!A:A,MATCH(M109,choices!A:A,0)+3), "
",""),IF(M109=INDEX(choices!A:A,MATCH(M109,choices!A:A,0)+4),INDEX(choices!C:C,MATCH(M109,choices!A:A,0)+4),""),IF(M109=INDEX(choices!A:A,MATCH(M109,choices!A:A,0)+4), "
",""),IF(M109=INDEX(choices!A:A,MATCH(M109,choices!A:A,0)+5),INDEX(choices!C:C,MATCH(M109,choices!A:A,0)+5),""),IF(M109=INDEX(choices!A:A,MATCH(M109,choices!A:A,0)+5), "
",""),IF(M109=INDEX(choices!A:A,MATCH(M109,choices!A:A,0)+6),INDEX(choices!C:C,MATCH(M109,choices!A:A,0)+6),""),IF(M109=INDEX(choices!A:A,MATCH(M109,choices!A:A,0)+6), "
",""),IF(M109=INDEX(choices!A:A,MATCH(M109,choices!A:A,0)+7),INDEX(choices!C:C,MATCH(M109,choices!A:A,0)+7),""),IF(M109=INDEX(choices!A:A,MATCH(M109,choices!A:A,0)+7), "
",""),IF(M109=INDEX(choices!A:A,MATCH(M109,choices!A:A,0)+8),INDEX(choices!C:C,MATCH(M109,choices!A:A,0)+8),""),IF(M109=INDEX(choices!A:A,MATCH(M109,choices!A:A,0)+8), "
",""),IF(M109=INDEX(choices!A:A,MATCH(M109,choices!A:A,0)+9),INDEX(choices!C:C,MATCH(M109,choices!A:A,0)+9),""),IF(M109=INDEX(choices!A:A,MATCH(M109,choices!A:A,0)+9), "
",""),IF(M109=INDEX(choices!A:A,MATCH(M109,choices!A:A,0)+10),INDEX(choices!C:C,MATCH(M109,choices!A:A,0)+10),""),IF(M109=INDEX(choices!A:A,MATCH(M109,choices!A:A,0)+10), "
",""),IF(M109=INDEX(choices!A:A,MATCH(M109,choices!A:A,0)+11),INDEX(choices!C:C,MATCH(M109,choices!A:A,0)+11),""),IF(M109=INDEX(choices!A:A,MATCH(M109,choices!A:A,0)+11), "
",""),IF(M109=INDEX(choices!A:A,MATCH(M109,choices!A:A,0)+12),INDEX(choices!C:C,MATCH(M109,choices!A:A,0)+12),""),IF(M109=INDEX(choices!A:A,MATCH(M109,choices!A:A,0)+12), "
",""),IF(M109=INDEX(choices!A:A,MATCH(M109,choices!A:A,0)+13),INDEX(choices!C:C,MATCH(M109,choices!A:A,0)+13),""),IF(M109=INDEX(choices!A:A,MATCH(M109,choices!A:A,0)+13), "
",""),IF(M109=INDEX(choices!A:A,MATCH(M109,choices!A:A,0)+14),INDEX(choices!C:C,MATCH(M109,choices!A:A,0)+14),""),IF(M109=INDEX(choices!A:A,MATCH(M109,choices!A:A,0)+14), "
",""),IF(M109=INDEX(choices!A:A,MATCH(M109,choices!A:A,0)+15),INDEX(choices!C:C,MATCH(M109,choices!A:A,0)+15),""),IF(M109=INDEX(choices!A:A,MATCH(M109,choices!A:A,0)+15), "
",""),IF(M109=INDEX(choices!A:A,MATCH(M109,choices!A:A,0)+16),INDEX(choices!C:C,MATCH(M109,choices!A:A,0)+16),""),IF(M109=INDEX(choices!A:A,MATCH(M109,choices!A:A,0)+16), "
",""),IF(M109=INDEX(choices!A:A,MATCH(M109,choices!A:A,0)+17),INDEX(choices!C:C,MATCH(M109,choices!A:A,0)+17),""),IF(M109=INDEX(choices!A:A,MATCH(M109,choices!A:A,0)+17), "
",""),IF(M109=INDEX(choices!A:A,MATCH(M109,choices!A:A,0)+18),INDEX(choices!C:C,MATCH(M109,choices!A:A,0)+18),""),IF(M109=INDEX(choices!A:A,MATCH(M109,choices!A:A,0)+18), "
",""),IF(M109=INDEX(choices!A:A,MATCH(M109,choices!A:A,0)+19),INDEX(choices!C:C,MATCH(M109,choices!A:A,0)+19),""),IF(M109=INDEX(choices!A:A,MATCH(M109,choices!A:A,0)+19), "
",""),IF(M109=INDEX(choices!A:A,MATCH(M109,choices!A:A,0)+20),INDEX(choices!C:C,MATCH(M109,choices!A:A,0)+20),""),IF(M109=INDEX(choices!A:A,MATCH(M109,choices!A:A,0)+20), "
","")," ")</f>
        <v xml:space="preserve">1. نعم
2. لا
 </v>
      </c>
      <c r="H109">
        <f t="shared" si="26"/>
        <v>11</v>
      </c>
      <c r="I109" s="274" t="str">
        <f t="shared" si="21"/>
        <v>14411_11</v>
      </c>
      <c r="L109" s="267" t="s">
        <v>170</v>
      </c>
      <c r="M109" s="275" t="s">
        <v>17</v>
      </c>
      <c r="N109" s="271" t="str">
        <f t="shared" si="22"/>
        <v>q14411_11</v>
      </c>
      <c r="O109" s="306" t="str">
        <f t="shared" si="23"/>
        <v>14411_11. انخفاض دخل أفراد الأسرة</v>
      </c>
      <c r="P109" s="257" t="str">
        <f t="shared" si="24"/>
        <v>14411_11. reduced income of household member</v>
      </c>
      <c r="Q109" s="272"/>
      <c r="R109" s="272"/>
      <c r="S109" s="427" t="str">
        <f t="shared" si="25"/>
        <v xml:space="preserve">data('valid_overall') ==1 </v>
      </c>
      <c r="T109" s="262"/>
      <c r="U109" s="262"/>
      <c r="V109" s="262"/>
      <c r="W109" s="262"/>
      <c r="X109" s="262"/>
      <c r="Y109" s="271" t="b">
        <v>1</v>
      </c>
    </row>
    <row r="110" spans="1:31" ht="63">
      <c r="A110" s="48" t="str">
        <f t="shared" si="20"/>
        <v>q14411_12</v>
      </c>
      <c r="B110" s="276" t="s">
        <v>888</v>
      </c>
      <c r="C110" s="276"/>
      <c r="D110" s="268" t="str">
        <f>CONCATENATE(INDEX(choices!D:D,MATCH(M110,choices!A:A,0)),"
",IF(M110=INDEX(choices!A:A,MATCH(M110,choices!A:A,0)+1),INDEX(choices!D:D,MATCH(M110,choices!A:A,0)+1),""),IF(M110=INDEX(choices!A:A,MATCH(M110,choices!A:A,0)+1), "
",""),IF(M110=INDEX(choices!A:A,MATCH(M110,choices!A:A,0)+2),INDEX(choices!D:D,MATCH(M110,choices!A:A,0)+2),""),IF(M110=INDEX(choices!A:A,MATCH(M110,choices!A:A,0)+2), "
",""),IF(M110=INDEX(choices!A:A,MATCH(M110,choices!A:A,0)+3),INDEX(choices!D:D,MATCH(M110,choices!A:A,0)+3),""),IF(M110=INDEX(choices!A:A,MATCH(M110,choices!A:A,0)+3), "
",""),IF(M110=INDEX(choices!A:A,MATCH(M110,choices!A:A,0)+4),INDEX(choices!D:D,MATCH(M110,choices!A:A,0)+4),""),IF(M110=INDEX(choices!A:A,MATCH(M110,choices!A:A,0)+4), "
",""),IF(M110=INDEX(choices!A:A,MATCH(M110,choices!A:A,0)+5),INDEX(choices!D:D,MATCH(M110,choices!A:A,0)+5),""),IF(M110=INDEX(choices!A:A,MATCH(M110,choices!A:A,0)+5), "
",""),IF(M110=INDEX(choices!A:A,MATCH(M110,choices!A:A,0)+6),INDEX(choices!D:D,MATCH(M110,choices!A:A,0)+6),""),IF(M110=INDEX(choices!A:A,MATCH(M110,choices!A:A,0)+6), "
",""),IF(M110=INDEX(choices!A:A,MATCH(M110,choices!A:A,0)+7),INDEX(choices!D:D,MATCH(M110,choices!A:A,0)+7),""),IF(M110=INDEX(choices!A:A,MATCH(M110,choices!A:A,0)+7), "
",""),IF(M110=INDEX(choices!A:A,MATCH(M110,choices!A:A,0)+8),INDEX(choices!D:D,MATCH(M110,choices!A:A,0)+8),""),IF(M110=INDEX(choices!A:A,MATCH(M110,choices!A:A,0)+8), "
",""),IF(M110=INDEX(choices!A:A,MATCH(M110,choices!A:A,0)+9),INDEX(choices!D:D,MATCH(M110,choices!A:A,0)+9),""),IF(M110=INDEX(choices!A:A,MATCH(M110,choices!A:A,0)+9), "
",""),IF(M110=INDEX(choices!A:A,MATCH(M110,choices!A:A,0)+10),INDEX(choices!D:D,MATCH(M110,choices!A:A,0)+10),""),IF(M110=INDEX(choices!A:A,MATCH(M110,choices!A:A,0)+10), "
",""),IF(M110=INDEX(choices!A:A,MATCH(M110,choices!A:A,0)+11),INDEX(choices!D:D,MATCH(M110,choices!A:A,0)+11),""),IF(M110=INDEX(choices!A:A,MATCH(M110,choices!A:A,0)+11), "
",""),IF(M110=INDEX(choices!A:A,MATCH(M110,choices!A:A,0)+12),INDEX(choices!D:D,MATCH(M110,choices!A:A,0)+12),""),IF(M110=INDEX(choices!A:A,MATCH(M110,choices!A:A,0)+12), "
",""),IF(M110=INDEX(choices!A:A,MATCH(M110,choices!A:A,0)+13),INDEX(choices!D:D,MATCH(M110,choices!A:A,0)+13),""),IF(M110=INDEX(choices!A:A,MATCH(M110,choices!A:A,0)+13), "
",""),IF(M110=INDEX(choices!A:A,MATCH(M110,choices!A:A,0)+14),INDEX(choices!D:D,MATCH(M110,choices!A:A,0)+14),""),IF(M110=INDEX(choices!A:A,MATCH(M110,choices!A:A,0)+14), "
",""),IF(M110=INDEX(choices!A:A,MATCH(M110,choices!A:A,0)+15),INDEX(choices!D:D,MATCH(M110,choices!A:A,0)+15),""),IF(M110=INDEX(choices!A:A,MATCH(M110,choices!A:A,0)+15), "
",""),IF(M110=INDEX(choices!A:A,MATCH(M110,choices!A:A,0)+16),INDEX(choices!D:D,MATCH(M110,choices!A:A,0)+16),""),IF(M110=INDEX(choices!A:A,MATCH(M110,choices!A:A,0)+16), "
",""),IF(M110=INDEX(choices!A:A,MATCH(M110,choices!A:A,0)+17),INDEX(choices!D:D,MATCH(M110,choices!A:A,0)+17),""),IF(M110=INDEX(choices!A:A,MATCH(M110,choices!A:A,0)+17), "
",""),IF(M110=INDEX(choices!A:A,MATCH(M110,choices!A:A,0)+18),INDEX(choices!D:D,MATCH(M110,choices!A:A,0)+18),""),IF(M110=INDEX(choices!A:A,MATCH(M110,choices!A:A,0)+18), "
",""),IF(M110=INDEX(choices!A:A,MATCH(M110,choices!A:A,0)+19),INDEX(choices!D:D,MATCH(M110,choices!A:A,0)+19),""),IF(M110=INDEX(choices!A:A,MATCH(M110,choices!A:A,0)+19), "
",""),IF(M110=INDEX(choices!A:A,MATCH(M110,choices!A:A,0)+20),INDEX(choices!D:D,MATCH(M110,choices!A:A,0)+20),""),IF(M110=INDEX(choices!A:A,MATCH(M110,choices!A:A,0)+20), "
",""))</f>
        <v xml:space="preserve">1. Yes
2. No
</v>
      </c>
      <c r="E110" s="366" t="s">
        <v>1255</v>
      </c>
      <c r="F110" s="276"/>
      <c r="G110" s="273" t="str">
        <f>CONCATENATE(INDEX(choices!C:C,MATCH(M110,choices!A:A,0)),"
",IF(M110=INDEX(choices!A:A,MATCH(M110,choices!A:A,0)+1),INDEX(choices!C:C,MATCH(M110,choices!A:A,0)+1),""),IF(M110=INDEX(choices!A:A,MATCH(M110,choices!A:A,0)+1), "
",""),IF(M110=INDEX(choices!A:A,MATCH(M110,choices!A:A,0)+2),INDEX(choices!C:C,MATCH(M110,choices!A:A,0)+2),""),IF(M110=INDEX(choices!A:A,MATCH(M110,choices!A:A,0)+2), "
",""),IF(M110=INDEX(choices!A:A,MATCH(M110,choices!A:A,0)+3),INDEX(choices!C:C,MATCH(M110,choices!A:A,0)+3),""),IF(M110=INDEX(choices!A:A,MATCH(M110,choices!A:A,0)+3), "
",""),IF(M110=INDEX(choices!A:A,MATCH(M110,choices!A:A,0)+4),INDEX(choices!C:C,MATCH(M110,choices!A:A,0)+4),""),IF(M110=INDEX(choices!A:A,MATCH(M110,choices!A:A,0)+4), "
",""),IF(M110=INDEX(choices!A:A,MATCH(M110,choices!A:A,0)+5),INDEX(choices!C:C,MATCH(M110,choices!A:A,0)+5),""),IF(M110=INDEX(choices!A:A,MATCH(M110,choices!A:A,0)+5), "
",""),IF(M110=INDEX(choices!A:A,MATCH(M110,choices!A:A,0)+6),INDEX(choices!C:C,MATCH(M110,choices!A:A,0)+6),""),IF(M110=INDEX(choices!A:A,MATCH(M110,choices!A:A,0)+6), "
",""),IF(M110=INDEX(choices!A:A,MATCH(M110,choices!A:A,0)+7),INDEX(choices!C:C,MATCH(M110,choices!A:A,0)+7),""),IF(M110=INDEX(choices!A:A,MATCH(M110,choices!A:A,0)+7), "
",""),IF(M110=INDEX(choices!A:A,MATCH(M110,choices!A:A,0)+8),INDEX(choices!C:C,MATCH(M110,choices!A:A,0)+8),""),IF(M110=INDEX(choices!A:A,MATCH(M110,choices!A:A,0)+8), "
",""),IF(M110=INDEX(choices!A:A,MATCH(M110,choices!A:A,0)+9),INDEX(choices!C:C,MATCH(M110,choices!A:A,0)+9),""),IF(M110=INDEX(choices!A:A,MATCH(M110,choices!A:A,0)+9), "
",""),IF(M110=INDEX(choices!A:A,MATCH(M110,choices!A:A,0)+10),INDEX(choices!C:C,MATCH(M110,choices!A:A,0)+10),""),IF(M110=INDEX(choices!A:A,MATCH(M110,choices!A:A,0)+10), "
",""),IF(M110=INDEX(choices!A:A,MATCH(M110,choices!A:A,0)+11),INDEX(choices!C:C,MATCH(M110,choices!A:A,0)+11),""),IF(M110=INDEX(choices!A:A,MATCH(M110,choices!A:A,0)+11), "
",""),IF(M110=INDEX(choices!A:A,MATCH(M110,choices!A:A,0)+12),INDEX(choices!C:C,MATCH(M110,choices!A:A,0)+12),""),IF(M110=INDEX(choices!A:A,MATCH(M110,choices!A:A,0)+12), "
",""),IF(M110=INDEX(choices!A:A,MATCH(M110,choices!A:A,0)+13),INDEX(choices!C:C,MATCH(M110,choices!A:A,0)+13),""),IF(M110=INDEX(choices!A:A,MATCH(M110,choices!A:A,0)+13), "
",""),IF(M110=INDEX(choices!A:A,MATCH(M110,choices!A:A,0)+14),INDEX(choices!C:C,MATCH(M110,choices!A:A,0)+14),""),IF(M110=INDEX(choices!A:A,MATCH(M110,choices!A:A,0)+14), "
",""),IF(M110=INDEX(choices!A:A,MATCH(M110,choices!A:A,0)+15),INDEX(choices!C:C,MATCH(M110,choices!A:A,0)+15),""),IF(M110=INDEX(choices!A:A,MATCH(M110,choices!A:A,0)+15), "
",""),IF(M110=INDEX(choices!A:A,MATCH(M110,choices!A:A,0)+16),INDEX(choices!C:C,MATCH(M110,choices!A:A,0)+16),""),IF(M110=INDEX(choices!A:A,MATCH(M110,choices!A:A,0)+16), "
",""),IF(M110=INDEX(choices!A:A,MATCH(M110,choices!A:A,0)+17),INDEX(choices!C:C,MATCH(M110,choices!A:A,0)+17),""),IF(M110=INDEX(choices!A:A,MATCH(M110,choices!A:A,0)+17), "
",""),IF(M110=INDEX(choices!A:A,MATCH(M110,choices!A:A,0)+18),INDEX(choices!C:C,MATCH(M110,choices!A:A,0)+18),""),IF(M110=INDEX(choices!A:A,MATCH(M110,choices!A:A,0)+18), "
",""),IF(M110=INDEX(choices!A:A,MATCH(M110,choices!A:A,0)+19),INDEX(choices!C:C,MATCH(M110,choices!A:A,0)+19),""),IF(M110=INDEX(choices!A:A,MATCH(M110,choices!A:A,0)+19), "
",""),IF(M110=INDEX(choices!A:A,MATCH(M110,choices!A:A,0)+20),INDEX(choices!C:C,MATCH(M110,choices!A:A,0)+20),""),IF(M110=INDEX(choices!A:A,MATCH(M110,choices!A:A,0)+20), "
","")," ")</f>
        <v xml:space="preserve">1. نعم
2. لا
 </v>
      </c>
      <c r="H110">
        <f t="shared" si="26"/>
        <v>12</v>
      </c>
      <c r="I110" s="274" t="str">
        <f t="shared" si="21"/>
        <v>14411_12</v>
      </c>
      <c r="L110" s="267" t="s">
        <v>170</v>
      </c>
      <c r="M110" s="275" t="s">
        <v>17</v>
      </c>
      <c r="N110" s="271" t="str">
        <f t="shared" si="22"/>
        <v>q14411_12</v>
      </c>
      <c r="O110" s="306" t="str">
        <f t="shared" si="23"/>
        <v>14411_12. مرض خطير أو حادث أصاب أحد أفراد الأسرة</v>
      </c>
      <c r="P110" s="257" t="str">
        <f t="shared" si="24"/>
        <v>14411_12. serious illness or accident of household member</v>
      </c>
      <c r="Q110" s="272"/>
      <c r="R110" s="272"/>
      <c r="S110" s="427" t="str">
        <f t="shared" si="25"/>
        <v xml:space="preserve">data('valid_overall') ==1 </v>
      </c>
      <c r="T110" s="262"/>
      <c r="U110" s="262"/>
      <c r="V110" s="262"/>
      <c r="W110" s="262"/>
      <c r="X110" s="262"/>
      <c r="Y110" s="271" t="b">
        <v>1</v>
      </c>
    </row>
    <row r="111" spans="1:31" ht="63">
      <c r="A111" s="48" t="str">
        <f t="shared" si="20"/>
        <v>q14411_13</v>
      </c>
      <c r="B111" s="276" t="s">
        <v>1206</v>
      </c>
      <c r="C111" s="276"/>
      <c r="D111" s="268" t="str">
        <f>CONCATENATE(INDEX(choices!D:D,MATCH(M111,choices!A:A,0)),"
",IF(M111=INDEX(choices!A:A,MATCH(M111,choices!A:A,0)+1),INDEX(choices!D:D,MATCH(M111,choices!A:A,0)+1),""),IF(M111=INDEX(choices!A:A,MATCH(M111,choices!A:A,0)+1), "
",""),IF(M111=INDEX(choices!A:A,MATCH(M111,choices!A:A,0)+2),INDEX(choices!D:D,MATCH(M111,choices!A:A,0)+2),""),IF(M111=INDEX(choices!A:A,MATCH(M111,choices!A:A,0)+2), "
",""),IF(M111=INDEX(choices!A:A,MATCH(M111,choices!A:A,0)+3),INDEX(choices!D:D,MATCH(M111,choices!A:A,0)+3),""),IF(M111=INDEX(choices!A:A,MATCH(M111,choices!A:A,0)+3), "
",""),IF(M111=INDEX(choices!A:A,MATCH(M111,choices!A:A,0)+4),INDEX(choices!D:D,MATCH(M111,choices!A:A,0)+4),""),IF(M111=INDEX(choices!A:A,MATCH(M111,choices!A:A,0)+4), "
",""),IF(M111=INDEX(choices!A:A,MATCH(M111,choices!A:A,0)+5),INDEX(choices!D:D,MATCH(M111,choices!A:A,0)+5),""),IF(M111=INDEX(choices!A:A,MATCH(M111,choices!A:A,0)+5), "
",""),IF(M111=INDEX(choices!A:A,MATCH(M111,choices!A:A,0)+6),INDEX(choices!D:D,MATCH(M111,choices!A:A,0)+6),""),IF(M111=INDEX(choices!A:A,MATCH(M111,choices!A:A,0)+6), "
",""),IF(M111=INDEX(choices!A:A,MATCH(M111,choices!A:A,0)+7),INDEX(choices!D:D,MATCH(M111,choices!A:A,0)+7),""),IF(M111=INDEX(choices!A:A,MATCH(M111,choices!A:A,0)+7), "
",""),IF(M111=INDEX(choices!A:A,MATCH(M111,choices!A:A,0)+8),INDEX(choices!D:D,MATCH(M111,choices!A:A,0)+8),""),IF(M111=INDEX(choices!A:A,MATCH(M111,choices!A:A,0)+8), "
",""),IF(M111=INDEX(choices!A:A,MATCH(M111,choices!A:A,0)+9),INDEX(choices!D:D,MATCH(M111,choices!A:A,0)+9),""),IF(M111=INDEX(choices!A:A,MATCH(M111,choices!A:A,0)+9), "
",""),IF(M111=INDEX(choices!A:A,MATCH(M111,choices!A:A,0)+10),INDEX(choices!D:D,MATCH(M111,choices!A:A,0)+10),""),IF(M111=INDEX(choices!A:A,MATCH(M111,choices!A:A,0)+10), "
",""),IF(M111=INDEX(choices!A:A,MATCH(M111,choices!A:A,0)+11),INDEX(choices!D:D,MATCH(M111,choices!A:A,0)+11),""),IF(M111=INDEX(choices!A:A,MATCH(M111,choices!A:A,0)+11), "
",""),IF(M111=INDEX(choices!A:A,MATCH(M111,choices!A:A,0)+12),INDEX(choices!D:D,MATCH(M111,choices!A:A,0)+12),""),IF(M111=INDEX(choices!A:A,MATCH(M111,choices!A:A,0)+12), "
",""),IF(M111=INDEX(choices!A:A,MATCH(M111,choices!A:A,0)+13),INDEX(choices!D:D,MATCH(M111,choices!A:A,0)+13),""),IF(M111=INDEX(choices!A:A,MATCH(M111,choices!A:A,0)+13), "
",""),IF(M111=INDEX(choices!A:A,MATCH(M111,choices!A:A,0)+14),INDEX(choices!D:D,MATCH(M111,choices!A:A,0)+14),""),IF(M111=INDEX(choices!A:A,MATCH(M111,choices!A:A,0)+14), "
",""),IF(M111=INDEX(choices!A:A,MATCH(M111,choices!A:A,0)+15),INDEX(choices!D:D,MATCH(M111,choices!A:A,0)+15),""),IF(M111=INDEX(choices!A:A,MATCH(M111,choices!A:A,0)+15), "
",""),IF(M111=INDEX(choices!A:A,MATCH(M111,choices!A:A,0)+16),INDEX(choices!D:D,MATCH(M111,choices!A:A,0)+16),""),IF(M111=INDEX(choices!A:A,MATCH(M111,choices!A:A,0)+16), "
",""),IF(M111=INDEX(choices!A:A,MATCH(M111,choices!A:A,0)+17),INDEX(choices!D:D,MATCH(M111,choices!A:A,0)+17),""),IF(M111=INDEX(choices!A:A,MATCH(M111,choices!A:A,0)+17), "
",""),IF(M111=INDEX(choices!A:A,MATCH(M111,choices!A:A,0)+18),INDEX(choices!D:D,MATCH(M111,choices!A:A,0)+18),""),IF(M111=INDEX(choices!A:A,MATCH(M111,choices!A:A,0)+18), "
",""),IF(M111=INDEX(choices!A:A,MATCH(M111,choices!A:A,0)+19),INDEX(choices!D:D,MATCH(M111,choices!A:A,0)+19),""),IF(M111=INDEX(choices!A:A,MATCH(M111,choices!A:A,0)+19), "
",""),IF(M111=INDEX(choices!A:A,MATCH(M111,choices!A:A,0)+20),INDEX(choices!D:D,MATCH(M111,choices!A:A,0)+20),""),IF(M111=INDEX(choices!A:A,MATCH(M111,choices!A:A,0)+20), "
",""))</f>
        <v xml:space="preserve">1. Yes
2. No
</v>
      </c>
      <c r="E111" s="367" t="s">
        <v>1256</v>
      </c>
      <c r="F111" s="276"/>
      <c r="G111" s="273" t="str">
        <f>CONCATENATE(INDEX(choices!C:C,MATCH(M111,choices!A:A,0)),"
",IF(M111=INDEX(choices!A:A,MATCH(M111,choices!A:A,0)+1),INDEX(choices!C:C,MATCH(M111,choices!A:A,0)+1),""),IF(M111=INDEX(choices!A:A,MATCH(M111,choices!A:A,0)+1), "
",""),IF(M111=INDEX(choices!A:A,MATCH(M111,choices!A:A,0)+2),INDEX(choices!C:C,MATCH(M111,choices!A:A,0)+2),""),IF(M111=INDEX(choices!A:A,MATCH(M111,choices!A:A,0)+2), "
",""),IF(M111=INDEX(choices!A:A,MATCH(M111,choices!A:A,0)+3),INDEX(choices!C:C,MATCH(M111,choices!A:A,0)+3),""),IF(M111=INDEX(choices!A:A,MATCH(M111,choices!A:A,0)+3), "
",""),IF(M111=INDEX(choices!A:A,MATCH(M111,choices!A:A,0)+4),INDEX(choices!C:C,MATCH(M111,choices!A:A,0)+4),""),IF(M111=INDEX(choices!A:A,MATCH(M111,choices!A:A,0)+4), "
",""),IF(M111=INDEX(choices!A:A,MATCH(M111,choices!A:A,0)+5),INDEX(choices!C:C,MATCH(M111,choices!A:A,0)+5),""),IF(M111=INDEX(choices!A:A,MATCH(M111,choices!A:A,0)+5), "
",""),IF(M111=INDEX(choices!A:A,MATCH(M111,choices!A:A,0)+6),INDEX(choices!C:C,MATCH(M111,choices!A:A,0)+6),""),IF(M111=INDEX(choices!A:A,MATCH(M111,choices!A:A,0)+6), "
",""),IF(M111=INDEX(choices!A:A,MATCH(M111,choices!A:A,0)+7),INDEX(choices!C:C,MATCH(M111,choices!A:A,0)+7),""),IF(M111=INDEX(choices!A:A,MATCH(M111,choices!A:A,0)+7), "
",""),IF(M111=INDEX(choices!A:A,MATCH(M111,choices!A:A,0)+8),INDEX(choices!C:C,MATCH(M111,choices!A:A,0)+8),""),IF(M111=INDEX(choices!A:A,MATCH(M111,choices!A:A,0)+8), "
",""),IF(M111=INDEX(choices!A:A,MATCH(M111,choices!A:A,0)+9),INDEX(choices!C:C,MATCH(M111,choices!A:A,0)+9),""),IF(M111=INDEX(choices!A:A,MATCH(M111,choices!A:A,0)+9), "
",""),IF(M111=INDEX(choices!A:A,MATCH(M111,choices!A:A,0)+10),INDEX(choices!C:C,MATCH(M111,choices!A:A,0)+10),""),IF(M111=INDEX(choices!A:A,MATCH(M111,choices!A:A,0)+10), "
",""),IF(M111=INDEX(choices!A:A,MATCH(M111,choices!A:A,0)+11),INDEX(choices!C:C,MATCH(M111,choices!A:A,0)+11),""),IF(M111=INDEX(choices!A:A,MATCH(M111,choices!A:A,0)+11), "
",""),IF(M111=INDEX(choices!A:A,MATCH(M111,choices!A:A,0)+12),INDEX(choices!C:C,MATCH(M111,choices!A:A,0)+12),""),IF(M111=INDEX(choices!A:A,MATCH(M111,choices!A:A,0)+12), "
",""),IF(M111=INDEX(choices!A:A,MATCH(M111,choices!A:A,0)+13),INDEX(choices!C:C,MATCH(M111,choices!A:A,0)+13),""),IF(M111=INDEX(choices!A:A,MATCH(M111,choices!A:A,0)+13), "
",""),IF(M111=INDEX(choices!A:A,MATCH(M111,choices!A:A,0)+14),INDEX(choices!C:C,MATCH(M111,choices!A:A,0)+14),""),IF(M111=INDEX(choices!A:A,MATCH(M111,choices!A:A,0)+14), "
",""),IF(M111=INDEX(choices!A:A,MATCH(M111,choices!A:A,0)+15),INDEX(choices!C:C,MATCH(M111,choices!A:A,0)+15),""),IF(M111=INDEX(choices!A:A,MATCH(M111,choices!A:A,0)+15), "
",""),IF(M111=INDEX(choices!A:A,MATCH(M111,choices!A:A,0)+16),INDEX(choices!C:C,MATCH(M111,choices!A:A,0)+16),""),IF(M111=INDEX(choices!A:A,MATCH(M111,choices!A:A,0)+16), "
",""),IF(M111=INDEX(choices!A:A,MATCH(M111,choices!A:A,0)+17),INDEX(choices!C:C,MATCH(M111,choices!A:A,0)+17),""),IF(M111=INDEX(choices!A:A,MATCH(M111,choices!A:A,0)+17), "
",""),IF(M111=INDEX(choices!A:A,MATCH(M111,choices!A:A,0)+18),INDEX(choices!C:C,MATCH(M111,choices!A:A,0)+18),""),IF(M111=INDEX(choices!A:A,MATCH(M111,choices!A:A,0)+18), "
",""),IF(M111=INDEX(choices!A:A,MATCH(M111,choices!A:A,0)+19),INDEX(choices!C:C,MATCH(M111,choices!A:A,0)+19),""),IF(M111=INDEX(choices!A:A,MATCH(M111,choices!A:A,0)+19), "
",""),IF(M111=INDEX(choices!A:A,MATCH(M111,choices!A:A,0)+20),INDEX(choices!C:C,MATCH(M111,choices!A:A,0)+20),""),IF(M111=INDEX(choices!A:A,MATCH(M111,choices!A:A,0)+20), "
","")," ")</f>
        <v xml:space="preserve">1. نعم
2. لا
 </v>
      </c>
      <c r="H111">
        <f t="shared" si="26"/>
        <v>13</v>
      </c>
      <c r="I111" s="274" t="str">
        <f t="shared" si="21"/>
        <v>14411_13</v>
      </c>
      <c r="L111" s="267" t="s">
        <v>170</v>
      </c>
      <c r="M111" s="275" t="s">
        <v>17</v>
      </c>
      <c r="N111" s="271" t="str">
        <f t="shared" si="22"/>
        <v>q14411_13</v>
      </c>
      <c r="O111" s="306" t="str">
        <f t="shared" si="23"/>
        <v>14411_13. وفاة أحد أفراد الأسرة العاملين</v>
      </c>
      <c r="P111" s="257" t="str">
        <f t="shared" si="24"/>
        <v>14411_13. death of a working household member</v>
      </c>
      <c r="Q111" s="272"/>
      <c r="R111" s="272"/>
      <c r="S111" s="427" t="str">
        <f t="shared" si="25"/>
        <v xml:space="preserve">data('valid_overall') ==1 </v>
      </c>
      <c r="T111" s="262"/>
      <c r="U111" s="262"/>
      <c r="V111" s="262"/>
      <c r="W111" s="262"/>
      <c r="X111" s="262"/>
      <c r="Y111" s="271" t="b">
        <v>1</v>
      </c>
    </row>
    <row r="112" spans="1:31" ht="47.25">
      <c r="A112" s="48" t="str">
        <f t="shared" si="20"/>
        <v>q14411_14</v>
      </c>
      <c r="B112" s="276" t="s">
        <v>1207</v>
      </c>
      <c r="C112" s="276"/>
      <c r="D112" s="268" t="str">
        <f>CONCATENATE(INDEX(choices!D:D,MATCH(M112,choices!A:A,0)),"
",IF(M112=INDEX(choices!A:A,MATCH(M112,choices!A:A,0)+1),INDEX(choices!D:D,MATCH(M112,choices!A:A,0)+1),""),IF(M112=INDEX(choices!A:A,MATCH(M112,choices!A:A,0)+1), "
",""),IF(M112=INDEX(choices!A:A,MATCH(M112,choices!A:A,0)+2),INDEX(choices!D:D,MATCH(M112,choices!A:A,0)+2),""),IF(M112=INDEX(choices!A:A,MATCH(M112,choices!A:A,0)+2), "
",""),IF(M112=INDEX(choices!A:A,MATCH(M112,choices!A:A,0)+3),INDEX(choices!D:D,MATCH(M112,choices!A:A,0)+3),""),IF(M112=INDEX(choices!A:A,MATCH(M112,choices!A:A,0)+3), "
",""),IF(M112=INDEX(choices!A:A,MATCH(M112,choices!A:A,0)+4),INDEX(choices!D:D,MATCH(M112,choices!A:A,0)+4),""),IF(M112=INDEX(choices!A:A,MATCH(M112,choices!A:A,0)+4), "
",""),IF(M112=INDEX(choices!A:A,MATCH(M112,choices!A:A,0)+5),INDEX(choices!D:D,MATCH(M112,choices!A:A,0)+5),""),IF(M112=INDEX(choices!A:A,MATCH(M112,choices!A:A,0)+5), "
",""),IF(M112=INDEX(choices!A:A,MATCH(M112,choices!A:A,0)+6),INDEX(choices!D:D,MATCH(M112,choices!A:A,0)+6),""),IF(M112=INDEX(choices!A:A,MATCH(M112,choices!A:A,0)+6), "
",""),IF(M112=INDEX(choices!A:A,MATCH(M112,choices!A:A,0)+7),INDEX(choices!D:D,MATCH(M112,choices!A:A,0)+7),""),IF(M112=INDEX(choices!A:A,MATCH(M112,choices!A:A,0)+7), "
",""),IF(M112=INDEX(choices!A:A,MATCH(M112,choices!A:A,0)+8),INDEX(choices!D:D,MATCH(M112,choices!A:A,0)+8),""),IF(M112=INDEX(choices!A:A,MATCH(M112,choices!A:A,0)+8), "
",""),IF(M112=INDEX(choices!A:A,MATCH(M112,choices!A:A,0)+9),INDEX(choices!D:D,MATCH(M112,choices!A:A,0)+9),""),IF(M112=INDEX(choices!A:A,MATCH(M112,choices!A:A,0)+9), "
",""),IF(M112=INDEX(choices!A:A,MATCH(M112,choices!A:A,0)+10),INDEX(choices!D:D,MATCH(M112,choices!A:A,0)+10),""),IF(M112=INDEX(choices!A:A,MATCH(M112,choices!A:A,0)+10), "
",""),IF(M112=INDEX(choices!A:A,MATCH(M112,choices!A:A,0)+11),INDEX(choices!D:D,MATCH(M112,choices!A:A,0)+11),""),IF(M112=INDEX(choices!A:A,MATCH(M112,choices!A:A,0)+11), "
",""),IF(M112=INDEX(choices!A:A,MATCH(M112,choices!A:A,0)+12),INDEX(choices!D:D,MATCH(M112,choices!A:A,0)+12),""),IF(M112=INDEX(choices!A:A,MATCH(M112,choices!A:A,0)+12), "
",""),IF(M112=INDEX(choices!A:A,MATCH(M112,choices!A:A,0)+13),INDEX(choices!D:D,MATCH(M112,choices!A:A,0)+13),""),IF(M112=INDEX(choices!A:A,MATCH(M112,choices!A:A,0)+13), "
",""),IF(M112=INDEX(choices!A:A,MATCH(M112,choices!A:A,0)+14),INDEX(choices!D:D,MATCH(M112,choices!A:A,0)+14),""),IF(M112=INDEX(choices!A:A,MATCH(M112,choices!A:A,0)+14), "
",""),IF(M112=INDEX(choices!A:A,MATCH(M112,choices!A:A,0)+15),INDEX(choices!D:D,MATCH(M112,choices!A:A,0)+15),""),IF(M112=INDEX(choices!A:A,MATCH(M112,choices!A:A,0)+15), "
",""),IF(M112=INDEX(choices!A:A,MATCH(M112,choices!A:A,0)+16),INDEX(choices!D:D,MATCH(M112,choices!A:A,0)+16),""),IF(M112=INDEX(choices!A:A,MATCH(M112,choices!A:A,0)+16), "
",""),IF(M112=INDEX(choices!A:A,MATCH(M112,choices!A:A,0)+17),INDEX(choices!D:D,MATCH(M112,choices!A:A,0)+17),""),IF(M112=INDEX(choices!A:A,MATCH(M112,choices!A:A,0)+17), "
",""),IF(M112=INDEX(choices!A:A,MATCH(M112,choices!A:A,0)+18),INDEX(choices!D:D,MATCH(M112,choices!A:A,0)+18),""),IF(M112=INDEX(choices!A:A,MATCH(M112,choices!A:A,0)+18), "
",""),IF(M112=INDEX(choices!A:A,MATCH(M112,choices!A:A,0)+19),INDEX(choices!D:D,MATCH(M112,choices!A:A,0)+19),""),IF(M112=INDEX(choices!A:A,MATCH(M112,choices!A:A,0)+19), "
",""),IF(M112=INDEX(choices!A:A,MATCH(M112,choices!A:A,0)+20),INDEX(choices!D:D,MATCH(M112,choices!A:A,0)+20),""),IF(M112=INDEX(choices!A:A,MATCH(M112,choices!A:A,0)+20), "
",""))</f>
        <v xml:space="preserve">1. Yes
2. No
</v>
      </c>
      <c r="E112" s="367" t="s">
        <v>1257</v>
      </c>
      <c r="F112" s="276"/>
      <c r="G112" s="273" t="str">
        <f>CONCATENATE(INDEX(choices!C:C,MATCH(M112,choices!A:A,0)),"
",IF(M112=INDEX(choices!A:A,MATCH(M112,choices!A:A,0)+1),INDEX(choices!C:C,MATCH(M112,choices!A:A,0)+1),""),IF(M112=INDEX(choices!A:A,MATCH(M112,choices!A:A,0)+1), "
",""),IF(M112=INDEX(choices!A:A,MATCH(M112,choices!A:A,0)+2),INDEX(choices!C:C,MATCH(M112,choices!A:A,0)+2),""),IF(M112=INDEX(choices!A:A,MATCH(M112,choices!A:A,0)+2), "
",""),IF(M112=INDEX(choices!A:A,MATCH(M112,choices!A:A,0)+3),INDEX(choices!C:C,MATCH(M112,choices!A:A,0)+3),""),IF(M112=INDEX(choices!A:A,MATCH(M112,choices!A:A,0)+3), "
",""),IF(M112=INDEX(choices!A:A,MATCH(M112,choices!A:A,0)+4),INDEX(choices!C:C,MATCH(M112,choices!A:A,0)+4),""),IF(M112=INDEX(choices!A:A,MATCH(M112,choices!A:A,0)+4), "
",""),IF(M112=INDEX(choices!A:A,MATCH(M112,choices!A:A,0)+5),INDEX(choices!C:C,MATCH(M112,choices!A:A,0)+5),""),IF(M112=INDEX(choices!A:A,MATCH(M112,choices!A:A,0)+5), "
",""),IF(M112=INDEX(choices!A:A,MATCH(M112,choices!A:A,0)+6),INDEX(choices!C:C,MATCH(M112,choices!A:A,0)+6),""),IF(M112=INDEX(choices!A:A,MATCH(M112,choices!A:A,0)+6), "
",""),IF(M112=INDEX(choices!A:A,MATCH(M112,choices!A:A,0)+7),INDEX(choices!C:C,MATCH(M112,choices!A:A,0)+7),""),IF(M112=INDEX(choices!A:A,MATCH(M112,choices!A:A,0)+7), "
",""),IF(M112=INDEX(choices!A:A,MATCH(M112,choices!A:A,0)+8),INDEX(choices!C:C,MATCH(M112,choices!A:A,0)+8),""),IF(M112=INDEX(choices!A:A,MATCH(M112,choices!A:A,0)+8), "
",""),IF(M112=INDEX(choices!A:A,MATCH(M112,choices!A:A,0)+9),INDEX(choices!C:C,MATCH(M112,choices!A:A,0)+9),""),IF(M112=INDEX(choices!A:A,MATCH(M112,choices!A:A,0)+9), "
",""),IF(M112=INDEX(choices!A:A,MATCH(M112,choices!A:A,0)+10),INDEX(choices!C:C,MATCH(M112,choices!A:A,0)+10),""),IF(M112=INDEX(choices!A:A,MATCH(M112,choices!A:A,0)+10), "
",""),IF(M112=INDEX(choices!A:A,MATCH(M112,choices!A:A,0)+11),INDEX(choices!C:C,MATCH(M112,choices!A:A,0)+11),""),IF(M112=INDEX(choices!A:A,MATCH(M112,choices!A:A,0)+11), "
",""),IF(M112=INDEX(choices!A:A,MATCH(M112,choices!A:A,0)+12),INDEX(choices!C:C,MATCH(M112,choices!A:A,0)+12),""),IF(M112=INDEX(choices!A:A,MATCH(M112,choices!A:A,0)+12), "
",""),IF(M112=INDEX(choices!A:A,MATCH(M112,choices!A:A,0)+13),INDEX(choices!C:C,MATCH(M112,choices!A:A,0)+13),""),IF(M112=INDEX(choices!A:A,MATCH(M112,choices!A:A,0)+13), "
",""),IF(M112=INDEX(choices!A:A,MATCH(M112,choices!A:A,0)+14),INDEX(choices!C:C,MATCH(M112,choices!A:A,0)+14),""),IF(M112=INDEX(choices!A:A,MATCH(M112,choices!A:A,0)+14), "
",""),IF(M112=INDEX(choices!A:A,MATCH(M112,choices!A:A,0)+15),INDEX(choices!C:C,MATCH(M112,choices!A:A,0)+15),""),IF(M112=INDEX(choices!A:A,MATCH(M112,choices!A:A,0)+15), "
",""),IF(M112=INDEX(choices!A:A,MATCH(M112,choices!A:A,0)+16),INDEX(choices!C:C,MATCH(M112,choices!A:A,0)+16),""),IF(M112=INDEX(choices!A:A,MATCH(M112,choices!A:A,0)+16), "
",""),IF(M112=INDEX(choices!A:A,MATCH(M112,choices!A:A,0)+17),INDEX(choices!C:C,MATCH(M112,choices!A:A,0)+17),""),IF(M112=INDEX(choices!A:A,MATCH(M112,choices!A:A,0)+17), "
",""),IF(M112=INDEX(choices!A:A,MATCH(M112,choices!A:A,0)+18),INDEX(choices!C:C,MATCH(M112,choices!A:A,0)+18),""),IF(M112=INDEX(choices!A:A,MATCH(M112,choices!A:A,0)+18), "
",""),IF(M112=INDEX(choices!A:A,MATCH(M112,choices!A:A,0)+19),INDEX(choices!C:C,MATCH(M112,choices!A:A,0)+19),""),IF(M112=INDEX(choices!A:A,MATCH(M112,choices!A:A,0)+19), "
",""),IF(M112=INDEX(choices!A:A,MATCH(M112,choices!A:A,0)+20),INDEX(choices!C:C,MATCH(M112,choices!A:A,0)+20),""),IF(M112=INDEX(choices!A:A,MATCH(M112,choices!A:A,0)+20), "
","")," ")</f>
        <v xml:space="preserve">1. نعم
2. لا
 </v>
      </c>
      <c r="H112">
        <f t="shared" si="26"/>
        <v>14</v>
      </c>
      <c r="I112" s="274" t="str">
        <f t="shared" si="21"/>
        <v>14411_14</v>
      </c>
      <c r="L112" s="267" t="s">
        <v>170</v>
      </c>
      <c r="M112" s="275" t="s">
        <v>17</v>
      </c>
      <c r="N112" s="271" t="str">
        <f t="shared" si="22"/>
        <v>q14411_14</v>
      </c>
      <c r="O112" s="306" t="str">
        <f t="shared" si="23"/>
        <v>14411_14. وفاة أحد أفراد الأسرة الآخرين</v>
      </c>
      <c r="P112" s="257" t="str">
        <f t="shared" si="24"/>
        <v>14411_14. death of other household member</v>
      </c>
      <c r="Q112" s="272"/>
      <c r="R112" s="272"/>
      <c r="S112" s="427" t="str">
        <f t="shared" si="25"/>
        <v xml:space="preserve">data('valid_overall') ==1 </v>
      </c>
      <c r="T112" s="262"/>
      <c r="U112" s="262"/>
      <c r="V112" s="262"/>
      <c r="W112" s="262"/>
      <c r="X112" s="262"/>
      <c r="Y112" s="271" t="b">
        <v>1</v>
      </c>
    </row>
    <row r="113" spans="1:31" ht="47.25">
      <c r="A113" s="48" t="str">
        <f t="shared" si="20"/>
        <v>q14411_15</v>
      </c>
      <c r="B113" s="276" t="s">
        <v>889</v>
      </c>
      <c r="C113" s="276"/>
      <c r="D113" s="268" t="str">
        <f>CONCATENATE(INDEX(choices!D:D,MATCH(M113,choices!A:A,0)),"
",IF(M113=INDEX(choices!A:A,MATCH(M113,choices!A:A,0)+1),INDEX(choices!D:D,MATCH(M113,choices!A:A,0)+1),""),IF(M113=INDEX(choices!A:A,MATCH(M113,choices!A:A,0)+1), "
",""),IF(M113=INDEX(choices!A:A,MATCH(M113,choices!A:A,0)+2),INDEX(choices!D:D,MATCH(M113,choices!A:A,0)+2),""),IF(M113=INDEX(choices!A:A,MATCH(M113,choices!A:A,0)+2), "
",""),IF(M113=INDEX(choices!A:A,MATCH(M113,choices!A:A,0)+3),INDEX(choices!D:D,MATCH(M113,choices!A:A,0)+3),""),IF(M113=INDEX(choices!A:A,MATCH(M113,choices!A:A,0)+3), "
",""),IF(M113=INDEX(choices!A:A,MATCH(M113,choices!A:A,0)+4),INDEX(choices!D:D,MATCH(M113,choices!A:A,0)+4),""),IF(M113=INDEX(choices!A:A,MATCH(M113,choices!A:A,0)+4), "
",""),IF(M113=INDEX(choices!A:A,MATCH(M113,choices!A:A,0)+5),INDEX(choices!D:D,MATCH(M113,choices!A:A,0)+5),""),IF(M113=INDEX(choices!A:A,MATCH(M113,choices!A:A,0)+5), "
",""),IF(M113=INDEX(choices!A:A,MATCH(M113,choices!A:A,0)+6),INDEX(choices!D:D,MATCH(M113,choices!A:A,0)+6),""),IF(M113=INDEX(choices!A:A,MATCH(M113,choices!A:A,0)+6), "
",""),IF(M113=INDEX(choices!A:A,MATCH(M113,choices!A:A,0)+7),INDEX(choices!D:D,MATCH(M113,choices!A:A,0)+7),""),IF(M113=INDEX(choices!A:A,MATCH(M113,choices!A:A,0)+7), "
",""),IF(M113=INDEX(choices!A:A,MATCH(M113,choices!A:A,0)+8),INDEX(choices!D:D,MATCH(M113,choices!A:A,0)+8),""),IF(M113=INDEX(choices!A:A,MATCH(M113,choices!A:A,0)+8), "
",""),IF(M113=INDEX(choices!A:A,MATCH(M113,choices!A:A,0)+9),INDEX(choices!D:D,MATCH(M113,choices!A:A,0)+9),""),IF(M113=INDEX(choices!A:A,MATCH(M113,choices!A:A,0)+9), "
",""),IF(M113=INDEX(choices!A:A,MATCH(M113,choices!A:A,0)+10),INDEX(choices!D:D,MATCH(M113,choices!A:A,0)+10),""),IF(M113=INDEX(choices!A:A,MATCH(M113,choices!A:A,0)+10), "
",""),IF(M113=INDEX(choices!A:A,MATCH(M113,choices!A:A,0)+11),INDEX(choices!D:D,MATCH(M113,choices!A:A,0)+11),""),IF(M113=INDEX(choices!A:A,MATCH(M113,choices!A:A,0)+11), "
",""),IF(M113=INDEX(choices!A:A,MATCH(M113,choices!A:A,0)+12),INDEX(choices!D:D,MATCH(M113,choices!A:A,0)+12),""),IF(M113=INDEX(choices!A:A,MATCH(M113,choices!A:A,0)+12), "
",""),IF(M113=INDEX(choices!A:A,MATCH(M113,choices!A:A,0)+13),INDEX(choices!D:D,MATCH(M113,choices!A:A,0)+13),""),IF(M113=INDEX(choices!A:A,MATCH(M113,choices!A:A,0)+13), "
",""),IF(M113=INDEX(choices!A:A,MATCH(M113,choices!A:A,0)+14),INDEX(choices!D:D,MATCH(M113,choices!A:A,0)+14),""),IF(M113=INDEX(choices!A:A,MATCH(M113,choices!A:A,0)+14), "
",""),IF(M113=INDEX(choices!A:A,MATCH(M113,choices!A:A,0)+15),INDEX(choices!D:D,MATCH(M113,choices!A:A,0)+15),""),IF(M113=INDEX(choices!A:A,MATCH(M113,choices!A:A,0)+15), "
",""),IF(M113=INDEX(choices!A:A,MATCH(M113,choices!A:A,0)+16),INDEX(choices!D:D,MATCH(M113,choices!A:A,0)+16),""),IF(M113=INDEX(choices!A:A,MATCH(M113,choices!A:A,0)+16), "
",""),IF(M113=INDEX(choices!A:A,MATCH(M113,choices!A:A,0)+17),INDEX(choices!D:D,MATCH(M113,choices!A:A,0)+17),""),IF(M113=INDEX(choices!A:A,MATCH(M113,choices!A:A,0)+17), "
",""),IF(M113=INDEX(choices!A:A,MATCH(M113,choices!A:A,0)+18),INDEX(choices!D:D,MATCH(M113,choices!A:A,0)+18),""),IF(M113=INDEX(choices!A:A,MATCH(M113,choices!A:A,0)+18), "
",""),IF(M113=INDEX(choices!A:A,MATCH(M113,choices!A:A,0)+19),INDEX(choices!D:D,MATCH(M113,choices!A:A,0)+19),""),IF(M113=INDEX(choices!A:A,MATCH(M113,choices!A:A,0)+19), "
",""),IF(M113=INDEX(choices!A:A,MATCH(M113,choices!A:A,0)+20),INDEX(choices!D:D,MATCH(M113,choices!A:A,0)+20),""),IF(M113=INDEX(choices!A:A,MATCH(M113,choices!A:A,0)+20), "
",""))</f>
        <v xml:space="preserve">1. Yes
2. No
</v>
      </c>
      <c r="E113" s="367" t="s">
        <v>1258</v>
      </c>
      <c r="F113" s="276"/>
      <c r="G113" s="273" t="str">
        <f>CONCATENATE(INDEX(choices!C:C,MATCH(M113,choices!A:A,0)),"
",IF(M113=INDEX(choices!A:A,MATCH(M113,choices!A:A,0)+1),INDEX(choices!C:C,MATCH(M113,choices!A:A,0)+1),""),IF(M113=INDEX(choices!A:A,MATCH(M113,choices!A:A,0)+1), "
",""),IF(M113=INDEX(choices!A:A,MATCH(M113,choices!A:A,0)+2),INDEX(choices!C:C,MATCH(M113,choices!A:A,0)+2),""),IF(M113=INDEX(choices!A:A,MATCH(M113,choices!A:A,0)+2), "
",""),IF(M113=INDEX(choices!A:A,MATCH(M113,choices!A:A,0)+3),INDEX(choices!C:C,MATCH(M113,choices!A:A,0)+3),""),IF(M113=INDEX(choices!A:A,MATCH(M113,choices!A:A,0)+3), "
",""),IF(M113=INDEX(choices!A:A,MATCH(M113,choices!A:A,0)+4),INDEX(choices!C:C,MATCH(M113,choices!A:A,0)+4),""),IF(M113=INDEX(choices!A:A,MATCH(M113,choices!A:A,0)+4), "
",""),IF(M113=INDEX(choices!A:A,MATCH(M113,choices!A:A,0)+5),INDEX(choices!C:C,MATCH(M113,choices!A:A,0)+5),""),IF(M113=INDEX(choices!A:A,MATCH(M113,choices!A:A,0)+5), "
",""),IF(M113=INDEX(choices!A:A,MATCH(M113,choices!A:A,0)+6),INDEX(choices!C:C,MATCH(M113,choices!A:A,0)+6),""),IF(M113=INDEX(choices!A:A,MATCH(M113,choices!A:A,0)+6), "
",""),IF(M113=INDEX(choices!A:A,MATCH(M113,choices!A:A,0)+7),INDEX(choices!C:C,MATCH(M113,choices!A:A,0)+7),""),IF(M113=INDEX(choices!A:A,MATCH(M113,choices!A:A,0)+7), "
",""),IF(M113=INDEX(choices!A:A,MATCH(M113,choices!A:A,0)+8),INDEX(choices!C:C,MATCH(M113,choices!A:A,0)+8),""),IF(M113=INDEX(choices!A:A,MATCH(M113,choices!A:A,0)+8), "
",""),IF(M113=INDEX(choices!A:A,MATCH(M113,choices!A:A,0)+9),INDEX(choices!C:C,MATCH(M113,choices!A:A,0)+9),""),IF(M113=INDEX(choices!A:A,MATCH(M113,choices!A:A,0)+9), "
",""),IF(M113=INDEX(choices!A:A,MATCH(M113,choices!A:A,0)+10),INDEX(choices!C:C,MATCH(M113,choices!A:A,0)+10),""),IF(M113=INDEX(choices!A:A,MATCH(M113,choices!A:A,0)+10), "
",""),IF(M113=INDEX(choices!A:A,MATCH(M113,choices!A:A,0)+11),INDEX(choices!C:C,MATCH(M113,choices!A:A,0)+11),""),IF(M113=INDEX(choices!A:A,MATCH(M113,choices!A:A,0)+11), "
",""),IF(M113=INDEX(choices!A:A,MATCH(M113,choices!A:A,0)+12),INDEX(choices!C:C,MATCH(M113,choices!A:A,0)+12),""),IF(M113=INDEX(choices!A:A,MATCH(M113,choices!A:A,0)+12), "
",""),IF(M113=INDEX(choices!A:A,MATCH(M113,choices!A:A,0)+13),INDEX(choices!C:C,MATCH(M113,choices!A:A,0)+13),""),IF(M113=INDEX(choices!A:A,MATCH(M113,choices!A:A,0)+13), "
",""),IF(M113=INDEX(choices!A:A,MATCH(M113,choices!A:A,0)+14),INDEX(choices!C:C,MATCH(M113,choices!A:A,0)+14),""),IF(M113=INDEX(choices!A:A,MATCH(M113,choices!A:A,0)+14), "
",""),IF(M113=INDEX(choices!A:A,MATCH(M113,choices!A:A,0)+15),INDEX(choices!C:C,MATCH(M113,choices!A:A,0)+15),""),IF(M113=INDEX(choices!A:A,MATCH(M113,choices!A:A,0)+15), "
",""),IF(M113=INDEX(choices!A:A,MATCH(M113,choices!A:A,0)+16),INDEX(choices!C:C,MATCH(M113,choices!A:A,0)+16),""),IF(M113=INDEX(choices!A:A,MATCH(M113,choices!A:A,0)+16), "
",""),IF(M113=INDEX(choices!A:A,MATCH(M113,choices!A:A,0)+17),INDEX(choices!C:C,MATCH(M113,choices!A:A,0)+17),""),IF(M113=INDEX(choices!A:A,MATCH(M113,choices!A:A,0)+17), "
",""),IF(M113=INDEX(choices!A:A,MATCH(M113,choices!A:A,0)+18),INDEX(choices!C:C,MATCH(M113,choices!A:A,0)+18),""),IF(M113=INDEX(choices!A:A,MATCH(M113,choices!A:A,0)+18), "
",""),IF(M113=INDEX(choices!A:A,MATCH(M113,choices!A:A,0)+19),INDEX(choices!C:C,MATCH(M113,choices!A:A,0)+19),""),IF(M113=INDEX(choices!A:A,MATCH(M113,choices!A:A,0)+19), "
",""),IF(M113=INDEX(choices!A:A,MATCH(M113,choices!A:A,0)+20),INDEX(choices!C:C,MATCH(M113,choices!A:A,0)+20),""),IF(M113=INDEX(choices!A:A,MATCH(M113,choices!A:A,0)+20), "
","")," ")</f>
        <v xml:space="preserve">1. نعم
2. لا
 </v>
      </c>
      <c r="H113">
        <f t="shared" si="26"/>
        <v>15</v>
      </c>
      <c r="I113" s="274" t="str">
        <f t="shared" si="21"/>
        <v>14411_15</v>
      </c>
      <c r="L113" s="267" t="s">
        <v>170</v>
      </c>
      <c r="M113" s="275" t="s">
        <v>17</v>
      </c>
      <c r="N113" s="271" t="str">
        <f t="shared" si="22"/>
        <v>q14411_15</v>
      </c>
      <c r="O113" s="306" t="str">
        <f t="shared" si="23"/>
        <v>14411_15. سرقة مال/أشياء ثمينة/حيوانات</v>
      </c>
      <c r="P113" s="257" t="str">
        <f t="shared" si="24"/>
        <v>14411_15. theft of money/valuables/animals</v>
      </c>
      <c r="Q113" s="272"/>
      <c r="R113" s="272"/>
      <c r="S113" s="427" t="str">
        <f t="shared" si="25"/>
        <v xml:space="preserve">data('valid_overall') ==1 </v>
      </c>
      <c r="T113" s="262"/>
      <c r="U113" s="262"/>
      <c r="V113" s="262"/>
      <c r="W113" s="262"/>
      <c r="X113" s="262"/>
      <c r="Y113" s="271" t="b">
        <v>1</v>
      </c>
    </row>
    <row r="114" spans="1:31" ht="47.25">
      <c r="A114" s="48" t="str">
        <f t="shared" si="20"/>
        <v>q14411_16</v>
      </c>
      <c r="B114" s="276" t="s">
        <v>890</v>
      </c>
      <c r="C114" s="276"/>
      <c r="D114" s="268" t="str">
        <f>CONCATENATE(INDEX(choices!D:D,MATCH(M114,choices!A:A,0)),"
",IF(M114=INDEX(choices!A:A,MATCH(M114,choices!A:A,0)+1),INDEX(choices!D:D,MATCH(M114,choices!A:A,0)+1),""),IF(M114=INDEX(choices!A:A,MATCH(M114,choices!A:A,0)+1), "
",""),IF(M114=INDEX(choices!A:A,MATCH(M114,choices!A:A,0)+2),INDEX(choices!D:D,MATCH(M114,choices!A:A,0)+2),""),IF(M114=INDEX(choices!A:A,MATCH(M114,choices!A:A,0)+2), "
",""),IF(M114=INDEX(choices!A:A,MATCH(M114,choices!A:A,0)+3),INDEX(choices!D:D,MATCH(M114,choices!A:A,0)+3),""),IF(M114=INDEX(choices!A:A,MATCH(M114,choices!A:A,0)+3), "
",""),IF(M114=INDEX(choices!A:A,MATCH(M114,choices!A:A,0)+4),INDEX(choices!D:D,MATCH(M114,choices!A:A,0)+4),""),IF(M114=INDEX(choices!A:A,MATCH(M114,choices!A:A,0)+4), "
",""),IF(M114=INDEX(choices!A:A,MATCH(M114,choices!A:A,0)+5),INDEX(choices!D:D,MATCH(M114,choices!A:A,0)+5),""),IF(M114=INDEX(choices!A:A,MATCH(M114,choices!A:A,0)+5), "
",""),IF(M114=INDEX(choices!A:A,MATCH(M114,choices!A:A,0)+6),INDEX(choices!D:D,MATCH(M114,choices!A:A,0)+6),""),IF(M114=INDEX(choices!A:A,MATCH(M114,choices!A:A,0)+6), "
",""),IF(M114=INDEX(choices!A:A,MATCH(M114,choices!A:A,0)+7),INDEX(choices!D:D,MATCH(M114,choices!A:A,0)+7),""),IF(M114=INDEX(choices!A:A,MATCH(M114,choices!A:A,0)+7), "
",""),IF(M114=INDEX(choices!A:A,MATCH(M114,choices!A:A,0)+8),INDEX(choices!D:D,MATCH(M114,choices!A:A,0)+8),""),IF(M114=INDEX(choices!A:A,MATCH(M114,choices!A:A,0)+8), "
",""),IF(M114=INDEX(choices!A:A,MATCH(M114,choices!A:A,0)+9),INDEX(choices!D:D,MATCH(M114,choices!A:A,0)+9),""),IF(M114=INDEX(choices!A:A,MATCH(M114,choices!A:A,0)+9), "
",""),IF(M114=INDEX(choices!A:A,MATCH(M114,choices!A:A,0)+10),INDEX(choices!D:D,MATCH(M114,choices!A:A,0)+10),""),IF(M114=INDEX(choices!A:A,MATCH(M114,choices!A:A,0)+10), "
",""),IF(M114=INDEX(choices!A:A,MATCH(M114,choices!A:A,0)+11),INDEX(choices!D:D,MATCH(M114,choices!A:A,0)+11),""),IF(M114=INDEX(choices!A:A,MATCH(M114,choices!A:A,0)+11), "
",""),IF(M114=INDEX(choices!A:A,MATCH(M114,choices!A:A,0)+12),INDEX(choices!D:D,MATCH(M114,choices!A:A,0)+12),""),IF(M114=INDEX(choices!A:A,MATCH(M114,choices!A:A,0)+12), "
",""),IF(M114=INDEX(choices!A:A,MATCH(M114,choices!A:A,0)+13),INDEX(choices!D:D,MATCH(M114,choices!A:A,0)+13),""),IF(M114=INDEX(choices!A:A,MATCH(M114,choices!A:A,0)+13), "
",""),IF(M114=INDEX(choices!A:A,MATCH(M114,choices!A:A,0)+14),INDEX(choices!D:D,MATCH(M114,choices!A:A,0)+14),""),IF(M114=INDEX(choices!A:A,MATCH(M114,choices!A:A,0)+14), "
",""),IF(M114=INDEX(choices!A:A,MATCH(M114,choices!A:A,0)+15),INDEX(choices!D:D,MATCH(M114,choices!A:A,0)+15),""),IF(M114=INDEX(choices!A:A,MATCH(M114,choices!A:A,0)+15), "
",""),IF(M114=INDEX(choices!A:A,MATCH(M114,choices!A:A,0)+16),INDEX(choices!D:D,MATCH(M114,choices!A:A,0)+16),""),IF(M114=INDEX(choices!A:A,MATCH(M114,choices!A:A,0)+16), "
",""),IF(M114=INDEX(choices!A:A,MATCH(M114,choices!A:A,0)+17),INDEX(choices!D:D,MATCH(M114,choices!A:A,0)+17),""),IF(M114=INDEX(choices!A:A,MATCH(M114,choices!A:A,0)+17), "
",""),IF(M114=INDEX(choices!A:A,MATCH(M114,choices!A:A,0)+18),INDEX(choices!D:D,MATCH(M114,choices!A:A,0)+18),""),IF(M114=INDEX(choices!A:A,MATCH(M114,choices!A:A,0)+18), "
",""),IF(M114=INDEX(choices!A:A,MATCH(M114,choices!A:A,0)+19),INDEX(choices!D:D,MATCH(M114,choices!A:A,0)+19),""),IF(M114=INDEX(choices!A:A,MATCH(M114,choices!A:A,0)+19), "
",""),IF(M114=INDEX(choices!A:A,MATCH(M114,choices!A:A,0)+20),INDEX(choices!D:D,MATCH(M114,choices!A:A,0)+20),""),IF(M114=INDEX(choices!A:A,MATCH(M114,choices!A:A,0)+20), "
",""))</f>
        <v xml:space="preserve">1. Yes
2. No
</v>
      </c>
      <c r="E114" s="367" t="s">
        <v>1259</v>
      </c>
      <c r="F114" s="276"/>
      <c r="G114" s="273" t="str">
        <f>CONCATENATE(INDEX(choices!C:C,MATCH(M114,choices!A:A,0)),"
",IF(M114=INDEX(choices!A:A,MATCH(M114,choices!A:A,0)+1),INDEX(choices!C:C,MATCH(M114,choices!A:A,0)+1),""),IF(M114=INDEX(choices!A:A,MATCH(M114,choices!A:A,0)+1), "
",""),IF(M114=INDEX(choices!A:A,MATCH(M114,choices!A:A,0)+2),INDEX(choices!C:C,MATCH(M114,choices!A:A,0)+2),""),IF(M114=INDEX(choices!A:A,MATCH(M114,choices!A:A,0)+2), "
",""),IF(M114=INDEX(choices!A:A,MATCH(M114,choices!A:A,0)+3),INDEX(choices!C:C,MATCH(M114,choices!A:A,0)+3),""),IF(M114=INDEX(choices!A:A,MATCH(M114,choices!A:A,0)+3), "
",""),IF(M114=INDEX(choices!A:A,MATCH(M114,choices!A:A,0)+4),INDEX(choices!C:C,MATCH(M114,choices!A:A,0)+4),""),IF(M114=INDEX(choices!A:A,MATCH(M114,choices!A:A,0)+4), "
",""),IF(M114=INDEX(choices!A:A,MATCH(M114,choices!A:A,0)+5),INDEX(choices!C:C,MATCH(M114,choices!A:A,0)+5),""),IF(M114=INDEX(choices!A:A,MATCH(M114,choices!A:A,0)+5), "
",""),IF(M114=INDEX(choices!A:A,MATCH(M114,choices!A:A,0)+6),INDEX(choices!C:C,MATCH(M114,choices!A:A,0)+6),""),IF(M114=INDEX(choices!A:A,MATCH(M114,choices!A:A,0)+6), "
",""),IF(M114=INDEX(choices!A:A,MATCH(M114,choices!A:A,0)+7),INDEX(choices!C:C,MATCH(M114,choices!A:A,0)+7),""),IF(M114=INDEX(choices!A:A,MATCH(M114,choices!A:A,0)+7), "
",""),IF(M114=INDEX(choices!A:A,MATCH(M114,choices!A:A,0)+8),INDEX(choices!C:C,MATCH(M114,choices!A:A,0)+8),""),IF(M114=INDEX(choices!A:A,MATCH(M114,choices!A:A,0)+8), "
",""),IF(M114=INDEX(choices!A:A,MATCH(M114,choices!A:A,0)+9),INDEX(choices!C:C,MATCH(M114,choices!A:A,0)+9),""),IF(M114=INDEX(choices!A:A,MATCH(M114,choices!A:A,0)+9), "
",""),IF(M114=INDEX(choices!A:A,MATCH(M114,choices!A:A,0)+10),INDEX(choices!C:C,MATCH(M114,choices!A:A,0)+10),""),IF(M114=INDEX(choices!A:A,MATCH(M114,choices!A:A,0)+10), "
",""),IF(M114=INDEX(choices!A:A,MATCH(M114,choices!A:A,0)+11),INDEX(choices!C:C,MATCH(M114,choices!A:A,0)+11),""),IF(M114=INDEX(choices!A:A,MATCH(M114,choices!A:A,0)+11), "
",""),IF(M114=INDEX(choices!A:A,MATCH(M114,choices!A:A,0)+12),INDEX(choices!C:C,MATCH(M114,choices!A:A,0)+12),""),IF(M114=INDEX(choices!A:A,MATCH(M114,choices!A:A,0)+12), "
",""),IF(M114=INDEX(choices!A:A,MATCH(M114,choices!A:A,0)+13),INDEX(choices!C:C,MATCH(M114,choices!A:A,0)+13),""),IF(M114=INDEX(choices!A:A,MATCH(M114,choices!A:A,0)+13), "
",""),IF(M114=INDEX(choices!A:A,MATCH(M114,choices!A:A,0)+14),INDEX(choices!C:C,MATCH(M114,choices!A:A,0)+14),""),IF(M114=INDEX(choices!A:A,MATCH(M114,choices!A:A,0)+14), "
",""),IF(M114=INDEX(choices!A:A,MATCH(M114,choices!A:A,0)+15),INDEX(choices!C:C,MATCH(M114,choices!A:A,0)+15),""),IF(M114=INDEX(choices!A:A,MATCH(M114,choices!A:A,0)+15), "
",""),IF(M114=INDEX(choices!A:A,MATCH(M114,choices!A:A,0)+16),INDEX(choices!C:C,MATCH(M114,choices!A:A,0)+16),""),IF(M114=INDEX(choices!A:A,MATCH(M114,choices!A:A,0)+16), "
",""),IF(M114=INDEX(choices!A:A,MATCH(M114,choices!A:A,0)+17),INDEX(choices!C:C,MATCH(M114,choices!A:A,0)+17),""),IF(M114=INDEX(choices!A:A,MATCH(M114,choices!A:A,0)+17), "
",""),IF(M114=INDEX(choices!A:A,MATCH(M114,choices!A:A,0)+18),INDEX(choices!C:C,MATCH(M114,choices!A:A,0)+18),""),IF(M114=INDEX(choices!A:A,MATCH(M114,choices!A:A,0)+18), "
",""),IF(M114=INDEX(choices!A:A,MATCH(M114,choices!A:A,0)+19),INDEX(choices!C:C,MATCH(M114,choices!A:A,0)+19),""),IF(M114=INDEX(choices!A:A,MATCH(M114,choices!A:A,0)+19), "
",""),IF(M114=INDEX(choices!A:A,MATCH(M114,choices!A:A,0)+20),INDEX(choices!C:C,MATCH(M114,choices!A:A,0)+20),""),IF(M114=INDEX(choices!A:A,MATCH(M114,choices!A:A,0)+20), "
","")," ")</f>
        <v xml:space="preserve">1. نعم
2. لا
 </v>
      </c>
      <c r="H114">
        <f t="shared" si="26"/>
        <v>16</v>
      </c>
      <c r="I114" s="274" t="str">
        <f t="shared" si="21"/>
        <v>14411_16</v>
      </c>
      <c r="L114" s="267" t="s">
        <v>170</v>
      </c>
      <c r="M114" s="275" t="s">
        <v>17</v>
      </c>
      <c r="N114" s="271" t="str">
        <f t="shared" si="22"/>
        <v>q14411_16</v>
      </c>
      <c r="O114" s="306" t="str">
        <f t="shared" si="23"/>
        <v>14411_16. صراعات/انعدام الأمن/العنف</v>
      </c>
      <c r="P114" s="257" t="str">
        <f t="shared" si="24"/>
        <v>14411_16. conflict/lack of security/violence</v>
      </c>
      <c r="Q114" s="272"/>
      <c r="R114" s="272"/>
      <c r="S114" s="427" t="str">
        <f t="shared" si="25"/>
        <v xml:space="preserve">data('valid_overall') ==1 </v>
      </c>
      <c r="T114" s="262"/>
      <c r="U114" s="262"/>
      <c r="V114" s="262"/>
      <c r="W114" s="262"/>
      <c r="X114" s="262"/>
      <c r="Y114" s="271" t="b">
        <v>1</v>
      </c>
    </row>
    <row r="115" spans="1:31" ht="39">
      <c r="A115" s="48" t="str">
        <f t="shared" si="20"/>
        <v>q14411_17</v>
      </c>
      <c r="B115" s="276" t="s">
        <v>891</v>
      </c>
      <c r="C115" s="276"/>
      <c r="D115" s="268" t="str">
        <f>CONCATENATE(INDEX(choices!D:D,MATCH(M115,choices!A:A,0)),"
",IF(M115=INDEX(choices!A:A,MATCH(M115,choices!A:A,0)+1),INDEX(choices!D:D,MATCH(M115,choices!A:A,0)+1),""),IF(M115=INDEX(choices!A:A,MATCH(M115,choices!A:A,0)+1), "
",""),IF(M115=INDEX(choices!A:A,MATCH(M115,choices!A:A,0)+2),INDEX(choices!D:D,MATCH(M115,choices!A:A,0)+2),""),IF(M115=INDEX(choices!A:A,MATCH(M115,choices!A:A,0)+2), "
",""),IF(M115=INDEX(choices!A:A,MATCH(M115,choices!A:A,0)+3),INDEX(choices!D:D,MATCH(M115,choices!A:A,0)+3),""),IF(M115=INDEX(choices!A:A,MATCH(M115,choices!A:A,0)+3), "
",""),IF(M115=INDEX(choices!A:A,MATCH(M115,choices!A:A,0)+4),INDEX(choices!D:D,MATCH(M115,choices!A:A,0)+4),""),IF(M115=INDEX(choices!A:A,MATCH(M115,choices!A:A,0)+4), "
",""),IF(M115=INDEX(choices!A:A,MATCH(M115,choices!A:A,0)+5),INDEX(choices!D:D,MATCH(M115,choices!A:A,0)+5),""),IF(M115=INDEX(choices!A:A,MATCH(M115,choices!A:A,0)+5), "
",""),IF(M115=INDEX(choices!A:A,MATCH(M115,choices!A:A,0)+6),INDEX(choices!D:D,MATCH(M115,choices!A:A,0)+6),""),IF(M115=INDEX(choices!A:A,MATCH(M115,choices!A:A,0)+6), "
",""),IF(M115=INDEX(choices!A:A,MATCH(M115,choices!A:A,0)+7),INDEX(choices!D:D,MATCH(M115,choices!A:A,0)+7),""),IF(M115=INDEX(choices!A:A,MATCH(M115,choices!A:A,0)+7), "
",""),IF(M115=INDEX(choices!A:A,MATCH(M115,choices!A:A,0)+8),INDEX(choices!D:D,MATCH(M115,choices!A:A,0)+8),""),IF(M115=INDEX(choices!A:A,MATCH(M115,choices!A:A,0)+8), "
",""),IF(M115=INDEX(choices!A:A,MATCH(M115,choices!A:A,0)+9),INDEX(choices!D:D,MATCH(M115,choices!A:A,0)+9),""),IF(M115=INDEX(choices!A:A,MATCH(M115,choices!A:A,0)+9), "
",""),IF(M115=INDEX(choices!A:A,MATCH(M115,choices!A:A,0)+10),INDEX(choices!D:D,MATCH(M115,choices!A:A,0)+10),""),IF(M115=INDEX(choices!A:A,MATCH(M115,choices!A:A,0)+10), "
",""),IF(M115=INDEX(choices!A:A,MATCH(M115,choices!A:A,0)+11),INDEX(choices!D:D,MATCH(M115,choices!A:A,0)+11),""),IF(M115=INDEX(choices!A:A,MATCH(M115,choices!A:A,0)+11), "
",""),IF(M115=INDEX(choices!A:A,MATCH(M115,choices!A:A,0)+12),INDEX(choices!D:D,MATCH(M115,choices!A:A,0)+12),""),IF(M115=INDEX(choices!A:A,MATCH(M115,choices!A:A,0)+12), "
",""),IF(M115=INDEX(choices!A:A,MATCH(M115,choices!A:A,0)+13),INDEX(choices!D:D,MATCH(M115,choices!A:A,0)+13),""),IF(M115=INDEX(choices!A:A,MATCH(M115,choices!A:A,0)+13), "
",""),IF(M115=INDEX(choices!A:A,MATCH(M115,choices!A:A,0)+14),INDEX(choices!D:D,MATCH(M115,choices!A:A,0)+14),""),IF(M115=INDEX(choices!A:A,MATCH(M115,choices!A:A,0)+14), "
",""),IF(M115=INDEX(choices!A:A,MATCH(M115,choices!A:A,0)+15),INDEX(choices!D:D,MATCH(M115,choices!A:A,0)+15),""),IF(M115=INDEX(choices!A:A,MATCH(M115,choices!A:A,0)+15), "
",""),IF(M115=INDEX(choices!A:A,MATCH(M115,choices!A:A,0)+16),INDEX(choices!D:D,MATCH(M115,choices!A:A,0)+16),""),IF(M115=INDEX(choices!A:A,MATCH(M115,choices!A:A,0)+16), "
",""),IF(M115=INDEX(choices!A:A,MATCH(M115,choices!A:A,0)+17),INDEX(choices!D:D,MATCH(M115,choices!A:A,0)+17),""),IF(M115=INDEX(choices!A:A,MATCH(M115,choices!A:A,0)+17), "
",""),IF(M115=INDEX(choices!A:A,MATCH(M115,choices!A:A,0)+18),INDEX(choices!D:D,MATCH(M115,choices!A:A,0)+18),""),IF(M115=INDEX(choices!A:A,MATCH(M115,choices!A:A,0)+18), "
",""),IF(M115=INDEX(choices!A:A,MATCH(M115,choices!A:A,0)+19),INDEX(choices!D:D,MATCH(M115,choices!A:A,0)+19),""),IF(M115=INDEX(choices!A:A,MATCH(M115,choices!A:A,0)+19), "
",""),IF(M115=INDEX(choices!A:A,MATCH(M115,choices!A:A,0)+20),INDEX(choices!D:D,MATCH(M115,choices!A:A,0)+20),""),IF(M115=INDEX(choices!A:A,MATCH(M115,choices!A:A,0)+20), "
",""))</f>
        <v xml:space="preserve">1. Yes
2. No
</v>
      </c>
      <c r="E115" s="367" t="s">
        <v>1232</v>
      </c>
      <c r="F115" s="276"/>
      <c r="G115" s="273" t="str">
        <f>CONCATENATE(INDEX(choices!C:C,MATCH(M115,choices!A:A,0)),"
",IF(M115=INDEX(choices!A:A,MATCH(M115,choices!A:A,0)+1),INDEX(choices!C:C,MATCH(M115,choices!A:A,0)+1),""),IF(M115=INDEX(choices!A:A,MATCH(M115,choices!A:A,0)+1), "
",""),IF(M115=INDEX(choices!A:A,MATCH(M115,choices!A:A,0)+2),INDEX(choices!C:C,MATCH(M115,choices!A:A,0)+2),""),IF(M115=INDEX(choices!A:A,MATCH(M115,choices!A:A,0)+2), "
",""),IF(M115=INDEX(choices!A:A,MATCH(M115,choices!A:A,0)+3),INDEX(choices!C:C,MATCH(M115,choices!A:A,0)+3),""),IF(M115=INDEX(choices!A:A,MATCH(M115,choices!A:A,0)+3), "
",""),IF(M115=INDEX(choices!A:A,MATCH(M115,choices!A:A,0)+4),INDEX(choices!C:C,MATCH(M115,choices!A:A,0)+4),""),IF(M115=INDEX(choices!A:A,MATCH(M115,choices!A:A,0)+4), "
",""),IF(M115=INDEX(choices!A:A,MATCH(M115,choices!A:A,0)+5),INDEX(choices!C:C,MATCH(M115,choices!A:A,0)+5),""),IF(M115=INDEX(choices!A:A,MATCH(M115,choices!A:A,0)+5), "
",""),IF(M115=INDEX(choices!A:A,MATCH(M115,choices!A:A,0)+6),INDEX(choices!C:C,MATCH(M115,choices!A:A,0)+6),""),IF(M115=INDEX(choices!A:A,MATCH(M115,choices!A:A,0)+6), "
",""),IF(M115=INDEX(choices!A:A,MATCH(M115,choices!A:A,0)+7),INDEX(choices!C:C,MATCH(M115,choices!A:A,0)+7),""),IF(M115=INDEX(choices!A:A,MATCH(M115,choices!A:A,0)+7), "
",""),IF(M115=INDEX(choices!A:A,MATCH(M115,choices!A:A,0)+8),INDEX(choices!C:C,MATCH(M115,choices!A:A,0)+8),""),IF(M115=INDEX(choices!A:A,MATCH(M115,choices!A:A,0)+8), "
",""),IF(M115=INDEX(choices!A:A,MATCH(M115,choices!A:A,0)+9),INDEX(choices!C:C,MATCH(M115,choices!A:A,0)+9),""),IF(M115=INDEX(choices!A:A,MATCH(M115,choices!A:A,0)+9), "
",""),IF(M115=INDEX(choices!A:A,MATCH(M115,choices!A:A,0)+10),INDEX(choices!C:C,MATCH(M115,choices!A:A,0)+10),""),IF(M115=INDEX(choices!A:A,MATCH(M115,choices!A:A,0)+10), "
",""),IF(M115=INDEX(choices!A:A,MATCH(M115,choices!A:A,0)+11),INDEX(choices!C:C,MATCH(M115,choices!A:A,0)+11),""),IF(M115=INDEX(choices!A:A,MATCH(M115,choices!A:A,0)+11), "
",""),IF(M115=INDEX(choices!A:A,MATCH(M115,choices!A:A,0)+12),INDEX(choices!C:C,MATCH(M115,choices!A:A,0)+12),""),IF(M115=INDEX(choices!A:A,MATCH(M115,choices!A:A,0)+12), "
",""),IF(M115=INDEX(choices!A:A,MATCH(M115,choices!A:A,0)+13),INDEX(choices!C:C,MATCH(M115,choices!A:A,0)+13),""),IF(M115=INDEX(choices!A:A,MATCH(M115,choices!A:A,0)+13), "
",""),IF(M115=INDEX(choices!A:A,MATCH(M115,choices!A:A,0)+14),INDEX(choices!C:C,MATCH(M115,choices!A:A,0)+14),""),IF(M115=INDEX(choices!A:A,MATCH(M115,choices!A:A,0)+14), "
",""),IF(M115=INDEX(choices!A:A,MATCH(M115,choices!A:A,0)+15),INDEX(choices!C:C,MATCH(M115,choices!A:A,0)+15),""),IF(M115=INDEX(choices!A:A,MATCH(M115,choices!A:A,0)+15), "
",""),IF(M115=INDEX(choices!A:A,MATCH(M115,choices!A:A,0)+16),INDEX(choices!C:C,MATCH(M115,choices!A:A,0)+16),""),IF(M115=INDEX(choices!A:A,MATCH(M115,choices!A:A,0)+16), "
",""),IF(M115=INDEX(choices!A:A,MATCH(M115,choices!A:A,0)+17),INDEX(choices!C:C,MATCH(M115,choices!A:A,0)+17),""),IF(M115=INDEX(choices!A:A,MATCH(M115,choices!A:A,0)+17), "
",""),IF(M115=INDEX(choices!A:A,MATCH(M115,choices!A:A,0)+18),INDEX(choices!C:C,MATCH(M115,choices!A:A,0)+18),""),IF(M115=INDEX(choices!A:A,MATCH(M115,choices!A:A,0)+18), "
",""),IF(M115=INDEX(choices!A:A,MATCH(M115,choices!A:A,0)+19),INDEX(choices!C:C,MATCH(M115,choices!A:A,0)+19),""),IF(M115=INDEX(choices!A:A,MATCH(M115,choices!A:A,0)+19), "
",""),IF(M115=INDEX(choices!A:A,MATCH(M115,choices!A:A,0)+20),INDEX(choices!C:C,MATCH(M115,choices!A:A,0)+20),""),IF(M115=INDEX(choices!A:A,MATCH(M115,choices!A:A,0)+20), "
","")," ")</f>
        <v xml:space="preserve">1. نعم
2. لا
 </v>
      </c>
      <c r="H115">
        <f t="shared" si="26"/>
        <v>17</v>
      </c>
      <c r="I115" s="274" t="str">
        <f t="shared" si="21"/>
        <v>14411_17</v>
      </c>
      <c r="L115" s="267" t="s">
        <v>170</v>
      </c>
      <c r="M115" s="275" t="s">
        <v>17</v>
      </c>
      <c r="N115" s="271" t="str">
        <f t="shared" si="22"/>
        <v>q14411_17</v>
      </c>
      <c r="O115" s="306" t="str">
        <f t="shared" si="23"/>
        <v>14411_17. أخرى (حدد)</v>
      </c>
      <c r="P115" s="257" t="str">
        <f t="shared" si="24"/>
        <v>14411_17. other (specify)</v>
      </c>
      <c r="Q115" s="272"/>
      <c r="R115" s="272"/>
      <c r="S115" s="427" t="str">
        <f t="shared" si="25"/>
        <v xml:space="preserve">data('valid_overall') ==1 </v>
      </c>
      <c r="T115" s="262"/>
      <c r="U115" s="262"/>
      <c r="V115" s="262"/>
      <c r="W115" s="262"/>
      <c r="X115" s="262"/>
      <c r="Y115" s="271" t="b">
        <v>1</v>
      </c>
    </row>
    <row r="116" spans="1:31" s="1" customFormat="1">
      <c r="A116" s="28"/>
      <c r="B116" s="129"/>
      <c r="C116" s="129"/>
      <c r="D116" s="28"/>
      <c r="E116" s="138"/>
      <c r="F116" s="129"/>
      <c r="G116" s="133"/>
      <c r="H116" s="133"/>
      <c r="I116" s="28"/>
      <c r="J116" s="135" t="s">
        <v>23</v>
      </c>
      <c r="K116" s="14" t="str">
        <f>CONCATENATE("selected (data('",N115,"'), '1')")</f>
        <v>selected (data('q14411_17'), '1')</v>
      </c>
      <c r="L116" s="19"/>
      <c r="M116" s="12"/>
      <c r="N116" s="14"/>
      <c r="O116" s="48"/>
      <c r="P116" s="31"/>
      <c r="Q116" s="31"/>
      <c r="R116" s="28"/>
      <c r="S116" s="43"/>
      <c r="T116" s="14"/>
      <c r="U116" s="14"/>
      <c r="V116" s="14"/>
      <c r="W116" s="14"/>
      <c r="X116" s="14"/>
      <c r="Y116" s="28"/>
      <c r="Z116" s="28"/>
      <c r="AA116" s="14"/>
      <c r="AB116" s="6"/>
      <c r="AC116" s="14"/>
      <c r="AD116" s="14"/>
      <c r="AE116" s="14"/>
    </row>
    <row r="117" spans="1:31" s="1" customFormat="1" ht="30">
      <c r="A117" s="28" t="str">
        <f>CONCATENATE(A115,"_other")</f>
        <v>q14411_17_other</v>
      </c>
      <c r="B117" s="129" t="s">
        <v>393</v>
      </c>
      <c r="C117" s="129"/>
      <c r="D117" s="28"/>
      <c r="E117" s="138" t="s">
        <v>1088</v>
      </c>
      <c r="F117" s="129"/>
      <c r="G117" s="133"/>
      <c r="H117" s="133"/>
      <c r="I117" s="28" t="str">
        <f>CONCATENATE(I115,"_other")</f>
        <v>14411_17_other</v>
      </c>
      <c r="J117" s="43"/>
      <c r="K117" s="14"/>
      <c r="L117" s="19" t="s">
        <v>8</v>
      </c>
      <c r="M117" s="12"/>
      <c r="N117" s="14" t="str">
        <f>CONCATENATE("q",I117)</f>
        <v>q14411_17_other</v>
      </c>
      <c r="O117" s="48" t="str">
        <f>CONCATENATE(I117,". ",E117)</f>
        <v>14411_17_other. أخرى</v>
      </c>
      <c r="P117" s="48" t="str">
        <f>CONCATENATE($I117,". ",B117)</f>
        <v xml:space="preserve">14411_17_other. Other: </v>
      </c>
      <c r="Q117" s="28"/>
      <c r="R117" s="28"/>
      <c r="S117" s="43" t="str">
        <f>CONCATENATE(K116, " &amp;&amp; ", '1_0_statistical_identification'!$S$164)</f>
        <v>selected (data('q14411_17'), '1') &amp;&amp; (data('valid_overall') == 1)</v>
      </c>
      <c r="T117" s="47"/>
      <c r="U117" s="47"/>
      <c r="V117" s="47"/>
      <c r="W117" s="47"/>
      <c r="X117" s="47"/>
      <c r="Y117" s="14" t="b">
        <v>1</v>
      </c>
      <c r="Z117" s="28"/>
      <c r="AB117" s="6"/>
      <c r="AC117" s="14"/>
      <c r="AD117" s="19"/>
      <c r="AE117" s="14"/>
    </row>
    <row r="118" spans="1:31" s="1" customFormat="1" ht="30">
      <c r="A118" s="28"/>
      <c r="B118" s="129"/>
      <c r="C118" s="129"/>
      <c r="D118" s="28"/>
      <c r="E118" s="138"/>
      <c r="F118" s="129"/>
      <c r="G118" s="133"/>
      <c r="H118" s="134" t="s">
        <v>893</v>
      </c>
      <c r="I118" s="28"/>
      <c r="J118" s="135" t="s">
        <v>24</v>
      </c>
      <c r="K118" s="14"/>
      <c r="L118" s="19"/>
      <c r="M118" s="12"/>
      <c r="N118" s="14"/>
      <c r="O118" s="48"/>
      <c r="P118" s="31"/>
      <c r="Q118" s="31"/>
      <c r="R118" s="28"/>
      <c r="S118" s="43"/>
      <c r="T118" s="14"/>
      <c r="U118" s="14"/>
      <c r="V118" s="14"/>
      <c r="W118" s="14"/>
      <c r="X118" s="14"/>
      <c r="Y118" s="28"/>
      <c r="Z118" s="28"/>
      <c r="AA118" s="14"/>
      <c r="AB118" s="6"/>
      <c r="AC118" s="14"/>
      <c r="AD118" s="14"/>
      <c r="AE118" s="14"/>
    </row>
    <row r="119" spans="1:31">
      <c r="E119" s="9"/>
      <c r="J119" s="43" t="s">
        <v>21</v>
      </c>
    </row>
    <row r="120" spans="1:31">
      <c r="E120" s="9"/>
      <c r="J120" s="135" t="s">
        <v>23</v>
      </c>
      <c r="K120" s="12" t="str">
        <f>CONCATENATE("(selected(data('",N99,"'), '1') || selected(data('",N100,"'), '1') || selected(data('",N101,"'), '1') || selected(data('",N102,"'), '1') ||selected(data('",N103,"'), '1') || selected(data('",N104,"'), '1') || selected(data('",N105,"'), '1') || selected(data('",N106,"'), '1') || selected(data('",N107,"'), '1') || selected(data('",N108,"'), '1') || selected(data('",N109,"'), '1') || selected(data('",N110,"'), '1') || selected(data('",N111,"'), '1') || selected(data('",N112,"'), '1') || selected(data('",N113,"'), '1')  || selected(data('",N114,"'), '1') ||  selected(data('",N115,"'), '1'))")</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v>
      </c>
    </row>
    <row r="121" spans="1:31">
      <c r="E121" s="9"/>
      <c r="J121" s="43" t="s">
        <v>20</v>
      </c>
    </row>
    <row r="122" spans="1:31" ht="60">
      <c r="B122" s="2" t="s">
        <v>892</v>
      </c>
      <c r="E122" s="366" t="s">
        <v>1260</v>
      </c>
      <c r="I122" s="269">
        <f>I98+1</f>
        <v>14412</v>
      </c>
      <c r="J122" s="265"/>
      <c r="K122" s="265"/>
      <c r="L122" s="265" t="s">
        <v>22</v>
      </c>
      <c r="M122" s="270"/>
      <c r="N122" s="265"/>
      <c r="O122" s="261" t="str">
        <f>E122</f>
        <v>ماذا فعلت الأسرة لتعوض خسائرها من الصدمة/المشكلة التى واجهتها؟</v>
      </c>
      <c r="P122" s="261" t="str">
        <f>B122</f>
        <v>What did the household do to compensate for the shock (s)?</v>
      </c>
      <c r="Q122" s="266"/>
      <c r="R122" s="266"/>
      <c r="S122" s="428"/>
      <c r="T122" s="267"/>
      <c r="U122" s="267"/>
      <c r="V122" s="267"/>
      <c r="W122" s="267"/>
      <c r="X122" s="267"/>
      <c r="Y122" s="1" t="b">
        <v>1</v>
      </c>
    </row>
    <row r="123" spans="1:31" ht="39">
      <c r="A123" s="48" t="str">
        <f>N123</f>
        <v>q14412_1</v>
      </c>
      <c r="B123" s="276" t="s">
        <v>894</v>
      </c>
      <c r="C123" s="276"/>
      <c r="D123" s="268" t="str">
        <f>CONCATENATE(INDEX(choices!D:D,MATCH(M123,choices!A:A,0)),"
",IF(M123=INDEX(choices!A:A,MATCH(M123,choices!A:A,0)+1),INDEX(choices!D:D,MATCH(M123,choices!A:A,0)+1),""),IF(M123=INDEX(choices!A:A,MATCH(M123,choices!A:A,0)+1), "
",""),IF(M123=INDEX(choices!A:A,MATCH(M123,choices!A:A,0)+2),INDEX(choices!D:D,MATCH(M123,choices!A:A,0)+2),""),IF(M123=INDEX(choices!A:A,MATCH(M123,choices!A:A,0)+2), "
",""),IF(M123=INDEX(choices!A:A,MATCH(M123,choices!A:A,0)+3),INDEX(choices!D:D,MATCH(M123,choices!A:A,0)+3),""),IF(M123=INDEX(choices!A:A,MATCH(M123,choices!A:A,0)+3), "
",""),IF(M123=INDEX(choices!A:A,MATCH(M123,choices!A:A,0)+4),INDEX(choices!D:D,MATCH(M123,choices!A:A,0)+4),""),IF(M123=INDEX(choices!A:A,MATCH(M123,choices!A:A,0)+4), "
",""),IF(M123=INDEX(choices!A:A,MATCH(M123,choices!A:A,0)+5),INDEX(choices!D:D,MATCH(M123,choices!A:A,0)+5),""),IF(M123=INDEX(choices!A:A,MATCH(M123,choices!A:A,0)+5), "
",""),IF(M123=INDEX(choices!A:A,MATCH(M123,choices!A:A,0)+6),INDEX(choices!D:D,MATCH(M123,choices!A:A,0)+6),""),IF(M123=INDEX(choices!A:A,MATCH(M123,choices!A:A,0)+6), "
",""),IF(M123=INDEX(choices!A:A,MATCH(M123,choices!A:A,0)+7),INDEX(choices!D:D,MATCH(M123,choices!A:A,0)+7),""),IF(M123=INDEX(choices!A:A,MATCH(M123,choices!A:A,0)+7), "
",""),IF(M123=INDEX(choices!A:A,MATCH(M123,choices!A:A,0)+8),INDEX(choices!D:D,MATCH(M123,choices!A:A,0)+8),""),IF(M123=INDEX(choices!A:A,MATCH(M123,choices!A:A,0)+8), "
",""),IF(M123=INDEX(choices!A:A,MATCH(M123,choices!A:A,0)+9),INDEX(choices!D:D,MATCH(M123,choices!A:A,0)+9),""),IF(M123=INDEX(choices!A:A,MATCH(M123,choices!A:A,0)+9), "
",""),IF(M123=INDEX(choices!A:A,MATCH(M123,choices!A:A,0)+10),INDEX(choices!D:D,MATCH(M123,choices!A:A,0)+10),""),IF(M123=INDEX(choices!A:A,MATCH(M123,choices!A:A,0)+10), "
",""),IF(M123=INDEX(choices!A:A,MATCH(M123,choices!A:A,0)+11),INDEX(choices!D:D,MATCH(M123,choices!A:A,0)+11),""),IF(M123=INDEX(choices!A:A,MATCH(M123,choices!A:A,0)+11), "
",""),IF(M123=INDEX(choices!A:A,MATCH(M123,choices!A:A,0)+12),INDEX(choices!D:D,MATCH(M123,choices!A:A,0)+12),""),IF(M123=INDEX(choices!A:A,MATCH(M123,choices!A:A,0)+12), "
",""),IF(M123=INDEX(choices!A:A,MATCH(M123,choices!A:A,0)+13),INDEX(choices!D:D,MATCH(M123,choices!A:A,0)+13),""),IF(M123=INDEX(choices!A:A,MATCH(M123,choices!A:A,0)+13), "
",""),IF(M123=INDEX(choices!A:A,MATCH(M123,choices!A:A,0)+14),INDEX(choices!D:D,MATCH(M123,choices!A:A,0)+14),""),IF(M123=INDEX(choices!A:A,MATCH(M123,choices!A:A,0)+14), "
",""),IF(M123=INDEX(choices!A:A,MATCH(M123,choices!A:A,0)+15),INDEX(choices!D:D,MATCH(M123,choices!A:A,0)+15),""),IF(M123=INDEX(choices!A:A,MATCH(M123,choices!A:A,0)+15), "
",""),IF(M123=INDEX(choices!A:A,MATCH(M123,choices!A:A,0)+16),INDEX(choices!D:D,MATCH(M123,choices!A:A,0)+16),""),IF(M123=INDEX(choices!A:A,MATCH(M123,choices!A:A,0)+16), "
",""),IF(M123=INDEX(choices!A:A,MATCH(M123,choices!A:A,0)+17),INDEX(choices!D:D,MATCH(M123,choices!A:A,0)+17),""),IF(M123=INDEX(choices!A:A,MATCH(M123,choices!A:A,0)+17), "
",""),IF(M123=INDEX(choices!A:A,MATCH(M123,choices!A:A,0)+18),INDEX(choices!D:D,MATCH(M123,choices!A:A,0)+18),""),IF(M123=INDEX(choices!A:A,MATCH(M123,choices!A:A,0)+18), "
",""),IF(M123=INDEX(choices!A:A,MATCH(M123,choices!A:A,0)+19),INDEX(choices!D:D,MATCH(M123,choices!A:A,0)+19),""),IF(M123=INDEX(choices!A:A,MATCH(M123,choices!A:A,0)+19), "
",""),IF(M123=INDEX(choices!A:A,MATCH(M123,choices!A:A,0)+20),INDEX(choices!D:D,MATCH(M123,choices!A:A,0)+20),""),IF(M123=INDEX(choices!A:A,MATCH(M123,choices!A:A,0)+20), "
",""))</f>
        <v xml:space="preserve">1. Yes
2. No
</v>
      </c>
      <c r="E123" s="366" t="s">
        <v>1261</v>
      </c>
      <c r="F123" s="276"/>
      <c r="G123" s="273" t="str">
        <f>CONCATENATE(INDEX(choices!C:C,MATCH(M123,choices!A:A,0)),"
",IF(M123=INDEX(choices!A:A,MATCH(M123,choices!A:A,0)+1),INDEX(choices!C:C,MATCH(M123,choices!A:A,0)+1),""),IF(M123=INDEX(choices!A:A,MATCH(M123,choices!A:A,0)+1), "
",""),IF(M123=INDEX(choices!A:A,MATCH(M123,choices!A:A,0)+2),INDEX(choices!C:C,MATCH(M123,choices!A:A,0)+2),""),IF(M123=INDEX(choices!A:A,MATCH(M123,choices!A:A,0)+2), "
",""),IF(M123=INDEX(choices!A:A,MATCH(M123,choices!A:A,0)+3),INDEX(choices!C:C,MATCH(M123,choices!A:A,0)+3),""),IF(M123=INDEX(choices!A:A,MATCH(M123,choices!A:A,0)+3), "
",""),IF(M123=INDEX(choices!A:A,MATCH(M123,choices!A:A,0)+4),INDEX(choices!C:C,MATCH(M123,choices!A:A,0)+4),""),IF(M123=INDEX(choices!A:A,MATCH(M123,choices!A:A,0)+4), "
",""),IF(M123=INDEX(choices!A:A,MATCH(M123,choices!A:A,0)+5),INDEX(choices!C:C,MATCH(M123,choices!A:A,0)+5),""),IF(M123=INDEX(choices!A:A,MATCH(M123,choices!A:A,0)+5), "
",""),IF(M123=INDEX(choices!A:A,MATCH(M123,choices!A:A,0)+6),INDEX(choices!C:C,MATCH(M123,choices!A:A,0)+6),""),IF(M123=INDEX(choices!A:A,MATCH(M123,choices!A:A,0)+6), "
",""),IF(M123=INDEX(choices!A:A,MATCH(M123,choices!A:A,0)+7),INDEX(choices!C:C,MATCH(M123,choices!A:A,0)+7),""),IF(M123=INDEX(choices!A:A,MATCH(M123,choices!A:A,0)+7), "
",""),IF(M123=INDEX(choices!A:A,MATCH(M123,choices!A:A,0)+8),INDEX(choices!C:C,MATCH(M123,choices!A:A,0)+8),""),IF(M123=INDEX(choices!A:A,MATCH(M123,choices!A:A,0)+8), "
",""),IF(M123=INDEX(choices!A:A,MATCH(M123,choices!A:A,0)+9),INDEX(choices!C:C,MATCH(M123,choices!A:A,0)+9),""),IF(M123=INDEX(choices!A:A,MATCH(M123,choices!A:A,0)+9), "
",""),IF(M123=INDEX(choices!A:A,MATCH(M123,choices!A:A,0)+10),INDEX(choices!C:C,MATCH(M123,choices!A:A,0)+10),""),IF(M123=INDEX(choices!A:A,MATCH(M123,choices!A:A,0)+10), "
",""),IF(M123=INDEX(choices!A:A,MATCH(M123,choices!A:A,0)+11),INDEX(choices!C:C,MATCH(M123,choices!A:A,0)+11),""),IF(M123=INDEX(choices!A:A,MATCH(M123,choices!A:A,0)+11), "
",""),IF(M123=INDEX(choices!A:A,MATCH(M123,choices!A:A,0)+12),INDEX(choices!C:C,MATCH(M123,choices!A:A,0)+12),""),IF(M123=INDEX(choices!A:A,MATCH(M123,choices!A:A,0)+12), "
",""),IF(M123=INDEX(choices!A:A,MATCH(M123,choices!A:A,0)+13),INDEX(choices!C:C,MATCH(M123,choices!A:A,0)+13),""),IF(M123=INDEX(choices!A:A,MATCH(M123,choices!A:A,0)+13), "
",""),IF(M123=INDEX(choices!A:A,MATCH(M123,choices!A:A,0)+14),INDEX(choices!C:C,MATCH(M123,choices!A:A,0)+14),""),IF(M123=INDEX(choices!A:A,MATCH(M123,choices!A:A,0)+14), "
",""),IF(M123=INDEX(choices!A:A,MATCH(M123,choices!A:A,0)+15),INDEX(choices!C:C,MATCH(M123,choices!A:A,0)+15),""),IF(M123=INDEX(choices!A:A,MATCH(M123,choices!A:A,0)+15), "
",""),IF(M123=INDEX(choices!A:A,MATCH(M123,choices!A:A,0)+16),INDEX(choices!C:C,MATCH(M123,choices!A:A,0)+16),""),IF(M123=INDEX(choices!A:A,MATCH(M123,choices!A:A,0)+16), "
",""),IF(M123=INDEX(choices!A:A,MATCH(M123,choices!A:A,0)+17),INDEX(choices!C:C,MATCH(M123,choices!A:A,0)+17),""),IF(M123=INDEX(choices!A:A,MATCH(M123,choices!A:A,0)+17), "
",""),IF(M123=INDEX(choices!A:A,MATCH(M123,choices!A:A,0)+18),INDEX(choices!C:C,MATCH(M123,choices!A:A,0)+18),""),IF(M123=INDEX(choices!A:A,MATCH(M123,choices!A:A,0)+18), "
",""),IF(M123=INDEX(choices!A:A,MATCH(M123,choices!A:A,0)+19),INDEX(choices!C:C,MATCH(M123,choices!A:A,0)+19),""),IF(M123=INDEX(choices!A:A,MATCH(M123,choices!A:A,0)+19), "
",""),IF(M123=INDEX(choices!A:A,MATCH(M123,choices!A:A,0)+20),INDEX(choices!C:C,MATCH(M123,choices!A:A,0)+20),""),IF(M123=INDEX(choices!A:A,MATCH(M123,choices!A:A,0)+20), "
","")," ")</f>
        <v xml:space="preserve">1. نعم
2. لا
 </v>
      </c>
      <c r="H123" s="272">
        <v>1</v>
      </c>
      <c r="I123" s="274" t="str">
        <f t="shared" ref="I123:I138" si="27">CONCATENATE(I$122, "_",H123)</f>
        <v>14412_1</v>
      </c>
      <c r="L123" s="267" t="s">
        <v>170</v>
      </c>
      <c r="M123" s="275" t="s">
        <v>17</v>
      </c>
      <c r="N123" s="271" t="str">
        <f t="shared" ref="N123:N138" si="28">CONCATENATE("q",I123)</f>
        <v>q14412_1</v>
      </c>
      <c r="O123" s="306" t="str">
        <f t="shared" ref="O123:O138" si="29">CONCATENATE(I123,". ",E123)</f>
        <v>14412_1. أكل كميات أقل من الطعام</v>
      </c>
      <c r="P123" s="257" t="str">
        <f t="shared" ref="P123:P138" si="30">CONCATENATE(I123,". ",B123)</f>
        <v>14412_1. ate less food</v>
      </c>
      <c r="Q123" s="272"/>
      <c r="R123" s="272"/>
      <c r="S123"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23" s="47"/>
      <c r="U123" s="47"/>
      <c r="V123" s="47"/>
      <c r="W123" s="47"/>
      <c r="X123" s="47"/>
      <c r="Y123" s="1" t="b">
        <v>1</v>
      </c>
    </row>
    <row r="124" spans="1:31" ht="63">
      <c r="A124" s="407" t="str">
        <f>N124</f>
        <v>q14412_2</v>
      </c>
      <c r="B124" s="276" t="s">
        <v>1185</v>
      </c>
      <c r="C124" s="276"/>
      <c r="D124" s="268" t="str">
        <f>CONCATENATE(INDEX(choices!D:D,MATCH(M124,choices!A:A,0)),"
",IF(M124=INDEX(choices!A:A,MATCH(M124,choices!A:A,0)+1),INDEX(choices!D:D,MATCH(M124,choices!A:A,0)+1),""),IF(M124=INDEX(choices!A:A,MATCH(M124,choices!A:A,0)+1), "
",""),IF(M124=INDEX(choices!A:A,MATCH(M124,choices!A:A,0)+2),INDEX(choices!D:D,MATCH(M124,choices!A:A,0)+2),""),IF(M124=INDEX(choices!A:A,MATCH(M124,choices!A:A,0)+2), "
",""),IF(M124=INDEX(choices!A:A,MATCH(M124,choices!A:A,0)+3),INDEX(choices!D:D,MATCH(M124,choices!A:A,0)+3),""),IF(M124=INDEX(choices!A:A,MATCH(M124,choices!A:A,0)+3), "
",""),IF(M124=INDEX(choices!A:A,MATCH(M124,choices!A:A,0)+4),INDEX(choices!D:D,MATCH(M124,choices!A:A,0)+4),""),IF(M124=INDEX(choices!A:A,MATCH(M124,choices!A:A,0)+4), "
",""),IF(M124=INDEX(choices!A:A,MATCH(M124,choices!A:A,0)+5),INDEX(choices!D:D,MATCH(M124,choices!A:A,0)+5),""),IF(M124=INDEX(choices!A:A,MATCH(M124,choices!A:A,0)+5), "
",""),IF(M124=INDEX(choices!A:A,MATCH(M124,choices!A:A,0)+6),INDEX(choices!D:D,MATCH(M124,choices!A:A,0)+6),""),IF(M124=INDEX(choices!A:A,MATCH(M124,choices!A:A,0)+6), "
",""),IF(M124=INDEX(choices!A:A,MATCH(M124,choices!A:A,0)+7),INDEX(choices!D:D,MATCH(M124,choices!A:A,0)+7),""),IF(M124=INDEX(choices!A:A,MATCH(M124,choices!A:A,0)+7), "
",""),IF(M124=INDEX(choices!A:A,MATCH(M124,choices!A:A,0)+8),INDEX(choices!D:D,MATCH(M124,choices!A:A,0)+8),""),IF(M124=INDEX(choices!A:A,MATCH(M124,choices!A:A,0)+8), "
",""),IF(M124=INDEX(choices!A:A,MATCH(M124,choices!A:A,0)+9),INDEX(choices!D:D,MATCH(M124,choices!A:A,0)+9),""),IF(M124=INDEX(choices!A:A,MATCH(M124,choices!A:A,0)+9), "
",""),IF(M124=INDEX(choices!A:A,MATCH(M124,choices!A:A,0)+10),INDEX(choices!D:D,MATCH(M124,choices!A:A,0)+10),""),IF(M124=INDEX(choices!A:A,MATCH(M124,choices!A:A,0)+10), "
",""),IF(M124=INDEX(choices!A:A,MATCH(M124,choices!A:A,0)+11),INDEX(choices!D:D,MATCH(M124,choices!A:A,0)+11),""),IF(M124=INDEX(choices!A:A,MATCH(M124,choices!A:A,0)+11), "
",""),IF(M124=INDEX(choices!A:A,MATCH(M124,choices!A:A,0)+12),INDEX(choices!D:D,MATCH(M124,choices!A:A,0)+12),""),IF(M124=INDEX(choices!A:A,MATCH(M124,choices!A:A,0)+12), "
",""),IF(M124=INDEX(choices!A:A,MATCH(M124,choices!A:A,0)+13),INDEX(choices!D:D,MATCH(M124,choices!A:A,0)+13),""),IF(M124=INDEX(choices!A:A,MATCH(M124,choices!A:A,0)+13), "
",""),IF(M124=INDEX(choices!A:A,MATCH(M124,choices!A:A,0)+14),INDEX(choices!D:D,MATCH(M124,choices!A:A,0)+14),""),IF(M124=INDEX(choices!A:A,MATCH(M124,choices!A:A,0)+14), "
",""),IF(M124=INDEX(choices!A:A,MATCH(M124,choices!A:A,0)+15),INDEX(choices!D:D,MATCH(M124,choices!A:A,0)+15),""),IF(M124=INDEX(choices!A:A,MATCH(M124,choices!A:A,0)+15), "
",""),IF(M124=INDEX(choices!A:A,MATCH(M124,choices!A:A,0)+16),INDEX(choices!D:D,MATCH(M124,choices!A:A,0)+16),""),IF(M124=INDEX(choices!A:A,MATCH(M124,choices!A:A,0)+16), "
",""),IF(M124=INDEX(choices!A:A,MATCH(M124,choices!A:A,0)+17),INDEX(choices!D:D,MATCH(M124,choices!A:A,0)+17),""),IF(M124=INDEX(choices!A:A,MATCH(M124,choices!A:A,0)+17), "
",""),IF(M124=INDEX(choices!A:A,MATCH(M124,choices!A:A,0)+18),INDEX(choices!D:D,MATCH(M124,choices!A:A,0)+18),""),IF(M124=INDEX(choices!A:A,MATCH(M124,choices!A:A,0)+18), "
",""),IF(M124=INDEX(choices!A:A,MATCH(M124,choices!A:A,0)+19),INDEX(choices!D:D,MATCH(M124,choices!A:A,0)+19),""),IF(M124=INDEX(choices!A:A,MATCH(M124,choices!A:A,0)+19), "
",""),IF(M124=INDEX(choices!A:A,MATCH(M124,choices!A:A,0)+20),INDEX(choices!D:D,MATCH(M124,choices!A:A,0)+20),""),IF(M124=INDEX(choices!A:A,MATCH(M124,choices!A:A,0)+20), "
",""))</f>
        <v xml:space="preserve">1. Yes
2. No
</v>
      </c>
      <c r="E124" s="366" t="s">
        <v>1262</v>
      </c>
      <c r="F124" s="276"/>
      <c r="G124" s="273" t="str">
        <f>CONCATENATE(INDEX(choices!C:C,MATCH(M124,choices!A:A,0)),"
",IF(M124=INDEX(choices!A:A,MATCH(M124,choices!A:A,0)+1),INDEX(choices!C:C,MATCH(M124,choices!A:A,0)+1),""),IF(M124=INDEX(choices!A:A,MATCH(M124,choices!A:A,0)+1), "
",""),IF(M124=INDEX(choices!A:A,MATCH(M124,choices!A:A,0)+2),INDEX(choices!C:C,MATCH(M124,choices!A:A,0)+2),""),IF(M124=INDEX(choices!A:A,MATCH(M124,choices!A:A,0)+2), "
",""),IF(M124=INDEX(choices!A:A,MATCH(M124,choices!A:A,0)+3),INDEX(choices!C:C,MATCH(M124,choices!A:A,0)+3),""),IF(M124=INDEX(choices!A:A,MATCH(M124,choices!A:A,0)+3), "
",""),IF(M124=INDEX(choices!A:A,MATCH(M124,choices!A:A,0)+4),INDEX(choices!C:C,MATCH(M124,choices!A:A,0)+4),""),IF(M124=INDEX(choices!A:A,MATCH(M124,choices!A:A,0)+4), "
",""),IF(M124=INDEX(choices!A:A,MATCH(M124,choices!A:A,0)+5),INDEX(choices!C:C,MATCH(M124,choices!A:A,0)+5),""),IF(M124=INDEX(choices!A:A,MATCH(M124,choices!A:A,0)+5), "
",""),IF(M124=INDEX(choices!A:A,MATCH(M124,choices!A:A,0)+6),INDEX(choices!C:C,MATCH(M124,choices!A:A,0)+6),""),IF(M124=INDEX(choices!A:A,MATCH(M124,choices!A:A,0)+6), "
",""),IF(M124=INDEX(choices!A:A,MATCH(M124,choices!A:A,0)+7),INDEX(choices!C:C,MATCH(M124,choices!A:A,0)+7),""),IF(M124=INDEX(choices!A:A,MATCH(M124,choices!A:A,0)+7), "
",""),IF(M124=INDEX(choices!A:A,MATCH(M124,choices!A:A,0)+8),INDEX(choices!C:C,MATCH(M124,choices!A:A,0)+8),""),IF(M124=INDEX(choices!A:A,MATCH(M124,choices!A:A,0)+8), "
",""),IF(M124=INDEX(choices!A:A,MATCH(M124,choices!A:A,0)+9),INDEX(choices!C:C,MATCH(M124,choices!A:A,0)+9),""),IF(M124=INDEX(choices!A:A,MATCH(M124,choices!A:A,0)+9), "
",""),IF(M124=INDEX(choices!A:A,MATCH(M124,choices!A:A,0)+10),INDEX(choices!C:C,MATCH(M124,choices!A:A,0)+10),""),IF(M124=INDEX(choices!A:A,MATCH(M124,choices!A:A,0)+10), "
",""),IF(M124=INDEX(choices!A:A,MATCH(M124,choices!A:A,0)+11),INDEX(choices!C:C,MATCH(M124,choices!A:A,0)+11),""),IF(M124=INDEX(choices!A:A,MATCH(M124,choices!A:A,0)+11), "
",""),IF(M124=INDEX(choices!A:A,MATCH(M124,choices!A:A,0)+12),INDEX(choices!C:C,MATCH(M124,choices!A:A,0)+12),""),IF(M124=INDEX(choices!A:A,MATCH(M124,choices!A:A,0)+12), "
",""),IF(M124=INDEX(choices!A:A,MATCH(M124,choices!A:A,0)+13),INDEX(choices!C:C,MATCH(M124,choices!A:A,0)+13),""),IF(M124=INDEX(choices!A:A,MATCH(M124,choices!A:A,0)+13), "
",""),IF(M124=INDEX(choices!A:A,MATCH(M124,choices!A:A,0)+14),INDEX(choices!C:C,MATCH(M124,choices!A:A,0)+14),""),IF(M124=INDEX(choices!A:A,MATCH(M124,choices!A:A,0)+14), "
",""),IF(M124=INDEX(choices!A:A,MATCH(M124,choices!A:A,0)+15),INDEX(choices!C:C,MATCH(M124,choices!A:A,0)+15),""),IF(M124=INDEX(choices!A:A,MATCH(M124,choices!A:A,0)+15), "
",""),IF(M124=INDEX(choices!A:A,MATCH(M124,choices!A:A,0)+16),INDEX(choices!C:C,MATCH(M124,choices!A:A,0)+16),""),IF(M124=INDEX(choices!A:A,MATCH(M124,choices!A:A,0)+16), "
",""),IF(M124=INDEX(choices!A:A,MATCH(M124,choices!A:A,0)+17),INDEX(choices!C:C,MATCH(M124,choices!A:A,0)+17),""),IF(M124=INDEX(choices!A:A,MATCH(M124,choices!A:A,0)+17), "
",""),IF(M124=INDEX(choices!A:A,MATCH(M124,choices!A:A,0)+18),INDEX(choices!C:C,MATCH(M124,choices!A:A,0)+18),""),IF(M124=INDEX(choices!A:A,MATCH(M124,choices!A:A,0)+18), "
",""),IF(M124=INDEX(choices!A:A,MATCH(M124,choices!A:A,0)+19),INDEX(choices!C:C,MATCH(M124,choices!A:A,0)+19),""),IF(M124=INDEX(choices!A:A,MATCH(M124,choices!A:A,0)+19), "
",""),IF(M124=INDEX(choices!A:A,MATCH(M124,choices!A:A,0)+20),INDEX(choices!C:C,MATCH(M124,choices!A:A,0)+20),""),IF(M124=INDEX(choices!A:A,MATCH(M124,choices!A:A,0)+20), "
","")," ")</f>
        <v xml:space="preserve">1. نعم
2. لا
 </v>
      </c>
      <c r="H124">
        <f t="shared" ref="H124:H138" si="31">H123+1</f>
        <v>2</v>
      </c>
      <c r="I124" s="274" t="str">
        <f t="shared" si="27"/>
        <v>14412_2</v>
      </c>
      <c r="L124" s="267" t="s">
        <v>170</v>
      </c>
      <c r="M124" s="275" t="s">
        <v>17</v>
      </c>
      <c r="N124" s="271" t="str">
        <f t="shared" si="28"/>
        <v>q14412_2</v>
      </c>
      <c r="O124" s="306" t="str">
        <f t="shared" si="29"/>
        <v>14412_2. اقتراض سلع أو أموال من الأقارب أو الأصدقاء</v>
      </c>
      <c r="P124" s="257" t="str">
        <f t="shared" si="30"/>
        <v>14412_2. borrowed goods or money from relatives or friends</v>
      </c>
      <c r="Q124" s="272"/>
      <c r="R124" s="272"/>
      <c r="S124"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24" s="47"/>
      <c r="U124" s="47"/>
      <c r="V124" s="47"/>
      <c r="W124" s="47"/>
      <c r="X124" s="47"/>
      <c r="Y124" s="71" t="b">
        <v>1</v>
      </c>
    </row>
    <row r="125" spans="1:31" ht="39">
      <c r="A125" s="48" t="str">
        <f>N125</f>
        <v>q14412_3</v>
      </c>
      <c r="B125" s="276" t="s">
        <v>895</v>
      </c>
      <c r="C125" s="276"/>
      <c r="D125" s="268" t="str">
        <f>CONCATENATE(INDEX(choices!D:D,MATCH(M125,choices!A:A,0)),"
",IF(M125=INDEX(choices!A:A,MATCH(M125,choices!A:A,0)+1),INDEX(choices!D:D,MATCH(M125,choices!A:A,0)+1),""),IF(M125=INDEX(choices!A:A,MATCH(M125,choices!A:A,0)+1), "
",""),IF(M125=INDEX(choices!A:A,MATCH(M125,choices!A:A,0)+2),INDEX(choices!D:D,MATCH(M125,choices!A:A,0)+2),""),IF(M125=INDEX(choices!A:A,MATCH(M125,choices!A:A,0)+2), "
",""),IF(M125=INDEX(choices!A:A,MATCH(M125,choices!A:A,0)+3),INDEX(choices!D:D,MATCH(M125,choices!A:A,0)+3),""),IF(M125=INDEX(choices!A:A,MATCH(M125,choices!A:A,0)+3), "
",""),IF(M125=INDEX(choices!A:A,MATCH(M125,choices!A:A,0)+4),INDEX(choices!D:D,MATCH(M125,choices!A:A,0)+4),""),IF(M125=INDEX(choices!A:A,MATCH(M125,choices!A:A,0)+4), "
",""),IF(M125=INDEX(choices!A:A,MATCH(M125,choices!A:A,0)+5),INDEX(choices!D:D,MATCH(M125,choices!A:A,0)+5),""),IF(M125=INDEX(choices!A:A,MATCH(M125,choices!A:A,0)+5), "
",""),IF(M125=INDEX(choices!A:A,MATCH(M125,choices!A:A,0)+6),INDEX(choices!D:D,MATCH(M125,choices!A:A,0)+6),""),IF(M125=INDEX(choices!A:A,MATCH(M125,choices!A:A,0)+6), "
",""),IF(M125=INDEX(choices!A:A,MATCH(M125,choices!A:A,0)+7),INDEX(choices!D:D,MATCH(M125,choices!A:A,0)+7),""),IF(M125=INDEX(choices!A:A,MATCH(M125,choices!A:A,0)+7), "
",""),IF(M125=INDEX(choices!A:A,MATCH(M125,choices!A:A,0)+8),INDEX(choices!D:D,MATCH(M125,choices!A:A,0)+8),""),IF(M125=INDEX(choices!A:A,MATCH(M125,choices!A:A,0)+8), "
",""),IF(M125=INDEX(choices!A:A,MATCH(M125,choices!A:A,0)+9),INDEX(choices!D:D,MATCH(M125,choices!A:A,0)+9),""),IF(M125=INDEX(choices!A:A,MATCH(M125,choices!A:A,0)+9), "
",""),IF(M125=INDEX(choices!A:A,MATCH(M125,choices!A:A,0)+10),INDEX(choices!D:D,MATCH(M125,choices!A:A,0)+10),""),IF(M125=INDEX(choices!A:A,MATCH(M125,choices!A:A,0)+10), "
",""),IF(M125=INDEX(choices!A:A,MATCH(M125,choices!A:A,0)+11),INDEX(choices!D:D,MATCH(M125,choices!A:A,0)+11),""),IF(M125=INDEX(choices!A:A,MATCH(M125,choices!A:A,0)+11), "
",""),IF(M125=INDEX(choices!A:A,MATCH(M125,choices!A:A,0)+12),INDEX(choices!D:D,MATCH(M125,choices!A:A,0)+12),""),IF(M125=INDEX(choices!A:A,MATCH(M125,choices!A:A,0)+12), "
",""),IF(M125=INDEX(choices!A:A,MATCH(M125,choices!A:A,0)+13),INDEX(choices!D:D,MATCH(M125,choices!A:A,0)+13),""),IF(M125=INDEX(choices!A:A,MATCH(M125,choices!A:A,0)+13), "
",""),IF(M125=INDEX(choices!A:A,MATCH(M125,choices!A:A,0)+14),INDEX(choices!D:D,MATCH(M125,choices!A:A,0)+14),""),IF(M125=INDEX(choices!A:A,MATCH(M125,choices!A:A,0)+14), "
",""),IF(M125=INDEX(choices!A:A,MATCH(M125,choices!A:A,0)+15),INDEX(choices!D:D,MATCH(M125,choices!A:A,0)+15),""),IF(M125=INDEX(choices!A:A,MATCH(M125,choices!A:A,0)+15), "
",""),IF(M125=INDEX(choices!A:A,MATCH(M125,choices!A:A,0)+16),INDEX(choices!D:D,MATCH(M125,choices!A:A,0)+16),""),IF(M125=INDEX(choices!A:A,MATCH(M125,choices!A:A,0)+16), "
",""),IF(M125=INDEX(choices!A:A,MATCH(M125,choices!A:A,0)+17),INDEX(choices!D:D,MATCH(M125,choices!A:A,0)+17),""),IF(M125=INDEX(choices!A:A,MATCH(M125,choices!A:A,0)+17), "
",""),IF(M125=INDEX(choices!A:A,MATCH(M125,choices!A:A,0)+18),INDEX(choices!D:D,MATCH(M125,choices!A:A,0)+18),""),IF(M125=INDEX(choices!A:A,MATCH(M125,choices!A:A,0)+18), "
",""),IF(M125=INDEX(choices!A:A,MATCH(M125,choices!A:A,0)+19),INDEX(choices!D:D,MATCH(M125,choices!A:A,0)+19),""),IF(M125=INDEX(choices!A:A,MATCH(M125,choices!A:A,0)+19), "
",""),IF(M125=INDEX(choices!A:A,MATCH(M125,choices!A:A,0)+20),INDEX(choices!D:D,MATCH(M125,choices!A:A,0)+20),""),IF(M125=INDEX(choices!A:A,MATCH(M125,choices!A:A,0)+20), "
",""))</f>
        <v xml:space="preserve">1. Yes
2. No
</v>
      </c>
      <c r="E125" s="366" t="s">
        <v>1263</v>
      </c>
      <c r="F125" s="276"/>
      <c r="G125" s="273" t="str">
        <f>CONCATENATE(INDEX(choices!C:C,MATCH(M125,choices!A:A,0)),"
",IF(M125=INDEX(choices!A:A,MATCH(M125,choices!A:A,0)+1),INDEX(choices!C:C,MATCH(M125,choices!A:A,0)+1),""),IF(M125=INDEX(choices!A:A,MATCH(M125,choices!A:A,0)+1), "
",""),IF(M125=INDEX(choices!A:A,MATCH(M125,choices!A:A,0)+2),INDEX(choices!C:C,MATCH(M125,choices!A:A,0)+2),""),IF(M125=INDEX(choices!A:A,MATCH(M125,choices!A:A,0)+2), "
",""),IF(M125=INDEX(choices!A:A,MATCH(M125,choices!A:A,0)+3),INDEX(choices!C:C,MATCH(M125,choices!A:A,0)+3),""),IF(M125=INDEX(choices!A:A,MATCH(M125,choices!A:A,0)+3), "
",""),IF(M125=INDEX(choices!A:A,MATCH(M125,choices!A:A,0)+4),INDEX(choices!C:C,MATCH(M125,choices!A:A,0)+4),""),IF(M125=INDEX(choices!A:A,MATCH(M125,choices!A:A,0)+4), "
",""),IF(M125=INDEX(choices!A:A,MATCH(M125,choices!A:A,0)+5),INDEX(choices!C:C,MATCH(M125,choices!A:A,0)+5),""),IF(M125=INDEX(choices!A:A,MATCH(M125,choices!A:A,0)+5), "
",""),IF(M125=INDEX(choices!A:A,MATCH(M125,choices!A:A,0)+6),INDEX(choices!C:C,MATCH(M125,choices!A:A,0)+6),""),IF(M125=INDEX(choices!A:A,MATCH(M125,choices!A:A,0)+6), "
",""),IF(M125=INDEX(choices!A:A,MATCH(M125,choices!A:A,0)+7),INDEX(choices!C:C,MATCH(M125,choices!A:A,0)+7),""),IF(M125=INDEX(choices!A:A,MATCH(M125,choices!A:A,0)+7), "
",""),IF(M125=INDEX(choices!A:A,MATCH(M125,choices!A:A,0)+8),INDEX(choices!C:C,MATCH(M125,choices!A:A,0)+8),""),IF(M125=INDEX(choices!A:A,MATCH(M125,choices!A:A,0)+8), "
",""),IF(M125=INDEX(choices!A:A,MATCH(M125,choices!A:A,0)+9),INDEX(choices!C:C,MATCH(M125,choices!A:A,0)+9),""),IF(M125=INDEX(choices!A:A,MATCH(M125,choices!A:A,0)+9), "
",""),IF(M125=INDEX(choices!A:A,MATCH(M125,choices!A:A,0)+10),INDEX(choices!C:C,MATCH(M125,choices!A:A,0)+10),""),IF(M125=INDEX(choices!A:A,MATCH(M125,choices!A:A,0)+10), "
",""),IF(M125=INDEX(choices!A:A,MATCH(M125,choices!A:A,0)+11),INDEX(choices!C:C,MATCH(M125,choices!A:A,0)+11),""),IF(M125=INDEX(choices!A:A,MATCH(M125,choices!A:A,0)+11), "
",""),IF(M125=INDEX(choices!A:A,MATCH(M125,choices!A:A,0)+12),INDEX(choices!C:C,MATCH(M125,choices!A:A,0)+12),""),IF(M125=INDEX(choices!A:A,MATCH(M125,choices!A:A,0)+12), "
",""),IF(M125=INDEX(choices!A:A,MATCH(M125,choices!A:A,0)+13),INDEX(choices!C:C,MATCH(M125,choices!A:A,0)+13),""),IF(M125=INDEX(choices!A:A,MATCH(M125,choices!A:A,0)+13), "
",""),IF(M125=INDEX(choices!A:A,MATCH(M125,choices!A:A,0)+14),INDEX(choices!C:C,MATCH(M125,choices!A:A,0)+14),""),IF(M125=INDEX(choices!A:A,MATCH(M125,choices!A:A,0)+14), "
",""),IF(M125=INDEX(choices!A:A,MATCH(M125,choices!A:A,0)+15),INDEX(choices!C:C,MATCH(M125,choices!A:A,0)+15),""),IF(M125=INDEX(choices!A:A,MATCH(M125,choices!A:A,0)+15), "
",""),IF(M125=INDEX(choices!A:A,MATCH(M125,choices!A:A,0)+16),INDEX(choices!C:C,MATCH(M125,choices!A:A,0)+16),""),IF(M125=INDEX(choices!A:A,MATCH(M125,choices!A:A,0)+16), "
",""),IF(M125=INDEX(choices!A:A,MATCH(M125,choices!A:A,0)+17),INDEX(choices!C:C,MATCH(M125,choices!A:A,0)+17),""),IF(M125=INDEX(choices!A:A,MATCH(M125,choices!A:A,0)+17), "
",""),IF(M125=INDEX(choices!A:A,MATCH(M125,choices!A:A,0)+18),INDEX(choices!C:C,MATCH(M125,choices!A:A,0)+18),""),IF(M125=INDEX(choices!A:A,MATCH(M125,choices!A:A,0)+18), "
",""),IF(M125=INDEX(choices!A:A,MATCH(M125,choices!A:A,0)+19),INDEX(choices!C:C,MATCH(M125,choices!A:A,0)+19),""),IF(M125=INDEX(choices!A:A,MATCH(M125,choices!A:A,0)+19), "
",""),IF(M125=INDEX(choices!A:A,MATCH(M125,choices!A:A,0)+20),INDEX(choices!C:C,MATCH(M125,choices!A:A,0)+20),""),IF(M125=INDEX(choices!A:A,MATCH(M125,choices!A:A,0)+20), "
","")," ")</f>
        <v xml:space="preserve">1. نعم
2. لا
 </v>
      </c>
      <c r="H125">
        <f t="shared" si="31"/>
        <v>3</v>
      </c>
      <c r="I125" s="274" t="str">
        <f t="shared" si="27"/>
        <v>14412_3</v>
      </c>
      <c r="L125" s="267" t="s">
        <v>170</v>
      </c>
      <c r="M125" s="275" t="s">
        <v>17</v>
      </c>
      <c r="N125" s="271" t="str">
        <f t="shared" si="28"/>
        <v>q14412_3</v>
      </c>
      <c r="O125" s="306" t="str">
        <f t="shared" si="29"/>
        <v>14412_3. شراء سلع بالآجل (بالائتمان)</v>
      </c>
      <c r="P125" s="257" t="str">
        <f t="shared" si="30"/>
        <v>14412_3. purchased goods on credit</v>
      </c>
      <c r="Q125" s="272"/>
      <c r="R125" s="272"/>
      <c r="S125"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25" s="47"/>
      <c r="U125" s="47"/>
      <c r="V125" s="47"/>
      <c r="W125" s="47"/>
      <c r="X125" s="47"/>
      <c r="Y125" s="71" t="b">
        <v>1</v>
      </c>
    </row>
    <row r="126" spans="1:31" ht="47.25">
      <c r="A126" s="271" t="str">
        <f t="shared" ref="A126:A136" si="32">I126</f>
        <v>14412_4</v>
      </c>
      <c r="B126" s="276" t="s">
        <v>896</v>
      </c>
      <c r="C126" s="276"/>
      <c r="D126" s="268" t="str">
        <f>CONCATENATE(INDEX(choices!D:D,MATCH(M126,choices!A:A,0)),"
",IF(M126=INDEX(choices!A:A,MATCH(M126,choices!A:A,0)+1),INDEX(choices!D:D,MATCH(M126,choices!A:A,0)+1),""),IF(M126=INDEX(choices!A:A,MATCH(M126,choices!A:A,0)+1), "
",""),IF(M126=INDEX(choices!A:A,MATCH(M126,choices!A:A,0)+2),INDEX(choices!D:D,MATCH(M126,choices!A:A,0)+2),""),IF(M126=INDEX(choices!A:A,MATCH(M126,choices!A:A,0)+2), "
",""),IF(M126=INDEX(choices!A:A,MATCH(M126,choices!A:A,0)+3),INDEX(choices!D:D,MATCH(M126,choices!A:A,0)+3),""),IF(M126=INDEX(choices!A:A,MATCH(M126,choices!A:A,0)+3), "
",""),IF(M126=INDEX(choices!A:A,MATCH(M126,choices!A:A,0)+4),INDEX(choices!D:D,MATCH(M126,choices!A:A,0)+4),""),IF(M126=INDEX(choices!A:A,MATCH(M126,choices!A:A,0)+4), "
",""),IF(M126=INDEX(choices!A:A,MATCH(M126,choices!A:A,0)+5),INDEX(choices!D:D,MATCH(M126,choices!A:A,0)+5),""),IF(M126=INDEX(choices!A:A,MATCH(M126,choices!A:A,0)+5), "
",""),IF(M126=INDEX(choices!A:A,MATCH(M126,choices!A:A,0)+6),INDEX(choices!D:D,MATCH(M126,choices!A:A,0)+6),""),IF(M126=INDEX(choices!A:A,MATCH(M126,choices!A:A,0)+6), "
",""),IF(M126=INDEX(choices!A:A,MATCH(M126,choices!A:A,0)+7),INDEX(choices!D:D,MATCH(M126,choices!A:A,0)+7),""),IF(M126=INDEX(choices!A:A,MATCH(M126,choices!A:A,0)+7), "
",""),IF(M126=INDEX(choices!A:A,MATCH(M126,choices!A:A,0)+8),INDEX(choices!D:D,MATCH(M126,choices!A:A,0)+8),""),IF(M126=INDEX(choices!A:A,MATCH(M126,choices!A:A,0)+8), "
",""),IF(M126=INDEX(choices!A:A,MATCH(M126,choices!A:A,0)+9),INDEX(choices!D:D,MATCH(M126,choices!A:A,0)+9),""),IF(M126=INDEX(choices!A:A,MATCH(M126,choices!A:A,0)+9), "
",""),IF(M126=INDEX(choices!A:A,MATCH(M126,choices!A:A,0)+10),INDEX(choices!D:D,MATCH(M126,choices!A:A,0)+10),""),IF(M126=INDEX(choices!A:A,MATCH(M126,choices!A:A,0)+10), "
",""),IF(M126=INDEX(choices!A:A,MATCH(M126,choices!A:A,0)+11),INDEX(choices!D:D,MATCH(M126,choices!A:A,0)+11),""),IF(M126=INDEX(choices!A:A,MATCH(M126,choices!A:A,0)+11), "
",""),IF(M126=INDEX(choices!A:A,MATCH(M126,choices!A:A,0)+12),INDEX(choices!D:D,MATCH(M126,choices!A:A,0)+12),""),IF(M126=INDEX(choices!A:A,MATCH(M126,choices!A:A,0)+12), "
",""),IF(M126=INDEX(choices!A:A,MATCH(M126,choices!A:A,0)+13),INDEX(choices!D:D,MATCH(M126,choices!A:A,0)+13),""),IF(M126=INDEX(choices!A:A,MATCH(M126,choices!A:A,0)+13), "
",""),IF(M126=INDEX(choices!A:A,MATCH(M126,choices!A:A,0)+14),INDEX(choices!D:D,MATCH(M126,choices!A:A,0)+14),""),IF(M126=INDEX(choices!A:A,MATCH(M126,choices!A:A,0)+14), "
",""),IF(M126=INDEX(choices!A:A,MATCH(M126,choices!A:A,0)+15),INDEX(choices!D:D,MATCH(M126,choices!A:A,0)+15),""),IF(M126=INDEX(choices!A:A,MATCH(M126,choices!A:A,0)+15), "
",""),IF(M126=INDEX(choices!A:A,MATCH(M126,choices!A:A,0)+16),INDEX(choices!D:D,MATCH(M126,choices!A:A,0)+16),""),IF(M126=INDEX(choices!A:A,MATCH(M126,choices!A:A,0)+16), "
",""),IF(M126=INDEX(choices!A:A,MATCH(M126,choices!A:A,0)+17),INDEX(choices!D:D,MATCH(M126,choices!A:A,0)+17),""),IF(M126=INDEX(choices!A:A,MATCH(M126,choices!A:A,0)+17), "
",""),IF(M126=INDEX(choices!A:A,MATCH(M126,choices!A:A,0)+18),INDEX(choices!D:D,MATCH(M126,choices!A:A,0)+18),""),IF(M126=INDEX(choices!A:A,MATCH(M126,choices!A:A,0)+18), "
",""),IF(M126=INDEX(choices!A:A,MATCH(M126,choices!A:A,0)+19),INDEX(choices!D:D,MATCH(M126,choices!A:A,0)+19),""),IF(M126=INDEX(choices!A:A,MATCH(M126,choices!A:A,0)+19), "
",""),IF(M126=INDEX(choices!A:A,MATCH(M126,choices!A:A,0)+20),INDEX(choices!D:D,MATCH(M126,choices!A:A,0)+20),""),IF(M126=INDEX(choices!A:A,MATCH(M126,choices!A:A,0)+20), "
",""))</f>
        <v xml:space="preserve">1. Yes
2. No
</v>
      </c>
      <c r="E126" s="366" t="s">
        <v>1264</v>
      </c>
      <c r="F126" s="276"/>
      <c r="G126" s="273" t="str">
        <f>CONCATENATE(INDEX(choices!C:C,MATCH(M126,choices!A:A,0)),"
",IF(M126=INDEX(choices!A:A,MATCH(M126,choices!A:A,0)+1),INDEX(choices!C:C,MATCH(M126,choices!A:A,0)+1),""),IF(M126=INDEX(choices!A:A,MATCH(M126,choices!A:A,0)+1), "
",""),IF(M126=INDEX(choices!A:A,MATCH(M126,choices!A:A,0)+2),INDEX(choices!C:C,MATCH(M126,choices!A:A,0)+2),""),IF(M126=INDEX(choices!A:A,MATCH(M126,choices!A:A,0)+2), "
",""),IF(M126=INDEX(choices!A:A,MATCH(M126,choices!A:A,0)+3),INDEX(choices!C:C,MATCH(M126,choices!A:A,0)+3),""),IF(M126=INDEX(choices!A:A,MATCH(M126,choices!A:A,0)+3), "
",""),IF(M126=INDEX(choices!A:A,MATCH(M126,choices!A:A,0)+4),INDEX(choices!C:C,MATCH(M126,choices!A:A,0)+4),""),IF(M126=INDEX(choices!A:A,MATCH(M126,choices!A:A,0)+4), "
",""),IF(M126=INDEX(choices!A:A,MATCH(M126,choices!A:A,0)+5),INDEX(choices!C:C,MATCH(M126,choices!A:A,0)+5),""),IF(M126=INDEX(choices!A:A,MATCH(M126,choices!A:A,0)+5), "
",""),IF(M126=INDEX(choices!A:A,MATCH(M126,choices!A:A,0)+6),INDEX(choices!C:C,MATCH(M126,choices!A:A,0)+6),""),IF(M126=INDEX(choices!A:A,MATCH(M126,choices!A:A,0)+6), "
",""),IF(M126=INDEX(choices!A:A,MATCH(M126,choices!A:A,0)+7),INDEX(choices!C:C,MATCH(M126,choices!A:A,0)+7),""),IF(M126=INDEX(choices!A:A,MATCH(M126,choices!A:A,0)+7), "
",""),IF(M126=INDEX(choices!A:A,MATCH(M126,choices!A:A,0)+8),INDEX(choices!C:C,MATCH(M126,choices!A:A,0)+8),""),IF(M126=INDEX(choices!A:A,MATCH(M126,choices!A:A,0)+8), "
",""),IF(M126=INDEX(choices!A:A,MATCH(M126,choices!A:A,0)+9),INDEX(choices!C:C,MATCH(M126,choices!A:A,0)+9),""),IF(M126=INDEX(choices!A:A,MATCH(M126,choices!A:A,0)+9), "
",""),IF(M126=INDEX(choices!A:A,MATCH(M126,choices!A:A,0)+10),INDEX(choices!C:C,MATCH(M126,choices!A:A,0)+10),""),IF(M126=INDEX(choices!A:A,MATCH(M126,choices!A:A,0)+10), "
",""),IF(M126=INDEX(choices!A:A,MATCH(M126,choices!A:A,0)+11),INDEX(choices!C:C,MATCH(M126,choices!A:A,0)+11),""),IF(M126=INDEX(choices!A:A,MATCH(M126,choices!A:A,0)+11), "
",""),IF(M126=INDEX(choices!A:A,MATCH(M126,choices!A:A,0)+12),INDEX(choices!C:C,MATCH(M126,choices!A:A,0)+12),""),IF(M126=INDEX(choices!A:A,MATCH(M126,choices!A:A,0)+12), "
",""),IF(M126=INDEX(choices!A:A,MATCH(M126,choices!A:A,0)+13),INDEX(choices!C:C,MATCH(M126,choices!A:A,0)+13),""),IF(M126=INDEX(choices!A:A,MATCH(M126,choices!A:A,0)+13), "
",""),IF(M126=INDEX(choices!A:A,MATCH(M126,choices!A:A,0)+14),INDEX(choices!C:C,MATCH(M126,choices!A:A,0)+14),""),IF(M126=INDEX(choices!A:A,MATCH(M126,choices!A:A,0)+14), "
",""),IF(M126=INDEX(choices!A:A,MATCH(M126,choices!A:A,0)+15),INDEX(choices!C:C,MATCH(M126,choices!A:A,0)+15),""),IF(M126=INDEX(choices!A:A,MATCH(M126,choices!A:A,0)+15), "
",""),IF(M126=INDEX(choices!A:A,MATCH(M126,choices!A:A,0)+16),INDEX(choices!C:C,MATCH(M126,choices!A:A,0)+16),""),IF(M126=INDEX(choices!A:A,MATCH(M126,choices!A:A,0)+16), "
",""),IF(M126=INDEX(choices!A:A,MATCH(M126,choices!A:A,0)+17),INDEX(choices!C:C,MATCH(M126,choices!A:A,0)+17),""),IF(M126=INDEX(choices!A:A,MATCH(M126,choices!A:A,0)+17), "
",""),IF(M126=INDEX(choices!A:A,MATCH(M126,choices!A:A,0)+18),INDEX(choices!C:C,MATCH(M126,choices!A:A,0)+18),""),IF(M126=INDEX(choices!A:A,MATCH(M126,choices!A:A,0)+18), "
",""),IF(M126=INDEX(choices!A:A,MATCH(M126,choices!A:A,0)+19),INDEX(choices!C:C,MATCH(M126,choices!A:A,0)+19),""),IF(M126=INDEX(choices!A:A,MATCH(M126,choices!A:A,0)+19), "
",""),IF(M126=INDEX(choices!A:A,MATCH(M126,choices!A:A,0)+20),INDEX(choices!C:C,MATCH(M126,choices!A:A,0)+20),""),IF(M126=INDEX(choices!A:A,MATCH(M126,choices!A:A,0)+20), "
","")," ")</f>
        <v xml:space="preserve">1. نعم
2. لا
 </v>
      </c>
      <c r="H126">
        <f t="shared" si="31"/>
        <v>4</v>
      </c>
      <c r="I126" s="274" t="str">
        <f t="shared" si="27"/>
        <v>14412_4</v>
      </c>
      <c r="L126" s="267" t="s">
        <v>170</v>
      </c>
      <c r="M126" s="275" t="s">
        <v>17</v>
      </c>
      <c r="N126" s="271" t="str">
        <f t="shared" si="28"/>
        <v>q14412_4</v>
      </c>
      <c r="O126" s="306" t="str">
        <f t="shared" si="29"/>
        <v>14412_4. هجرة بعض أفراد الأسرة</v>
      </c>
      <c r="P126" s="257" t="str">
        <f t="shared" si="30"/>
        <v>14412_4. some HH members migrated</v>
      </c>
      <c r="Q126" s="272"/>
      <c r="R126" s="272"/>
      <c r="S126"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26" s="47"/>
      <c r="U126" s="47"/>
      <c r="V126" s="47"/>
      <c r="W126" s="47"/>
      <c r="X126" s="47"/>
      <c r="Y126" s="71" t="b">
        <v>1</v>
      </c>
    </row>
    <row r="127" spans="1:31" ht="39">
      <c r="A127" s="271" t="str">
        <f t="shared" si="32"/>
        <v>14412_5</v>
      </c>
      <c r="B127" s="276" t="s">
        <v>897</v>
      </c>
      <c r="C127" s="276"/>
      <c r="D127" s="268" t="str">
        <f>CONCATENATE(INDEX(choices!D:D,MATCH(M127,choices!A:A,0)),"
",IF(M127=INDEX(choices!A:A,MATCH(M127,choices!A:A,0)+1),INDEX(choices!D:D,MATCH(M127,choices!A:A,0)+1),""),IF(M127=INDEX(choices!A:A,MATCH(M127,choices!A:A,0)+1), "
",""),IF(M127=INDEX(choices!A:A,MATCH(M127,choices!A:A,0)+2),INDEX(choices!D:D,MATCH(M127,choices!A:A,0)+2),""),IF(M127=INDEX(choices!A:A,MATCH(M127,choices!A:A,0)+2), "
",""),IF(M127=INDEX(choices!A:A,MATCH(M127,choices!A:A,0)+3),INDEX(choices!D:D,MATCH(M127,choices!A:A,0)+3),""),IF(M127=INDEX(choices!A:A,MATCH(M127,choices!A:A,0)+3), "
",""),IF(M127=INDEX(choices!A:A,MATCH(M127,choices!A:A,0)+4),INDEX(choices!D:D,MATCH(M127,choices!A:A,0)+4),""),IF(M127=INDEX(choices!A:A,MATCH(M127,choices!A:A,0)+4), "
",""),IF(M127=INDEX(choices!A:A,MATCH(M127,choices!A:A,0)+5),INDEX(choices!D:D,MATCH(M127,choices!A:A,0)+5),""),IF(M127=INDEX(choices!A:A,MATCH(M127,choices!A:A,0)+5), "
",""),IF(M127=INDEX(choices!A:A,MATCH(M127,choices!A:A,0)+6),INDEX(choices!D:D,MATCH(M127,choices!A:A,0)+6),""),IF(M127=INDEX(choices!A:A,MATCH(M127,choices!A:A,0)+6), "
",""),IF(M127=INDEX(choices!A:A,MATCH(M127,choices!A:A,0)+7),INDEX(choices!D:D,MATCH(M127,choices!A:A,0)+7),""),IF(M127=INDEX(choices!A:A,MATCH(M127,choices!A:A,0)+7), "
",""),IF(M127=INDEX(choices!A:A,MATCH(M127,choices!A:A,0)+8),INDEX(choices!D:D,MATCH(M127,choices!A:A,0)+8),""),IF(M127=INDEX(choices!A:A,MATCH(M127,choices!A:A,0)+8), "
",""),IF(M127=INDEX(choices!A:A,MATCH(M127,choices!A:A,0)+9),INDEX(choices!D:D,MATCH(M127,choices!A:A,0)+9),""),IF(M127=INDEX(choices!A:A,MATCH(M127,choices!A:A,0)+9), "
",""),IF(M127=INDEX(choices!A:A,MATCH(M127,choices!A:A,0)+10),INDEX(choices!D:D,MATCH(M127,choices!A:A,0)+10),""),IF(M127=INDEX(choices!A:A,MATCH(M127,choices!A:A,0)+10), "
",""),IF(M127=INDEX(choices!A:A,MATCH(M127,choices!A:A,0)+11),INDEX(choices!D:D,MATCH(M127,choices!A:A,0)+11),""),IF(M127=INDEX(choices!A:A,MATCH(M127,choices!A:A,0)+11), "
",""),IF(M127=INDEX(choices!A:A,MATCH(M127,choices!A:A,0)+12),INDEX(choices!D:D,MATCH(M127,choices!A:A,0)+12),""),IF(M127=INDEX(choices!A:A,MATCH(M127,choices!A:A,0)+12), "
",""),IF(M127=INDEX(choices!A:A,MATCH(M127,choices!A:A,0)+13),INDEX(choices!D:D,MATCH(M127,choices!A:A,0)+13),""),IF(M127=INDEX(choices!A:A,MATCH(M127,choices!A:A,0)+13), "
",""),IF(M127=INDEX(choices!A:A,MATCH(M127,choices!A:A,0)+14),INDEX(choices!D:D,MATCH(M127,choices!A:A,0)+14),""),IF(M127=INDEX(choices!A:A,MATCH(M127,choices!A:A,0)+14), "
",""),IF(M127=INDEX(choices!A:A,MATCH(M127,choices!A:A,0)+15),INDEX(choices!D:D,MATCH(M127,choices!A:A,0)+15),""),IF(M127=INDEX(choices!A:A,MATCH(M127,choices!A:A,0)+15), "
",""),IF(M127=INDEX(choices!A:A,MATCH(M127,choices!A:A,0)+16),INDEX(choices!D:D,MATCH(M127,choices!A:A,0)+16),""),IF(M127=INDEX(choices!A:A,MATCH(M127,choices!A:A,0)+16), "
",""),IF(M127=INDEX(choices!A:A,MATCH(M127,choices!A:A,0)+17),INDEX(choices!D:D,MATCH(M127,choices!A:A,0)+17),""),IF(M127=INDEX(choices!A:A,MATCH(M127,choices!A:A,0)+17), "
",""),IF(M127=INDEX(choices!A:A,MATCH(M127,choices!A:A,0)+18),INDEX(choices!D:D,MATCH(M127,choices!A:A,0)+18),""),IF(M127=INDEX(choices!A:A,MATCH(M127,choices!A:A,0)+18), "
",""),IF(M127=INDEX(choices!A:A,MATCH(M127,choices!A:A,0)+19),INDEX(choices!D:D,MATCH(M127,choices!A:A,0)+19),""),IF(M127=INDEX(choices!A:A,MATCH(M127,choices!A:A,0)+19), "
",""),IF(M127=INDEX(choices!A:A,MATCH(M127,choices!A:A,0)+20),INDEX(choices!D:D,MATCH(M127,choices!A:A,0)+20),""),IF(M127=INDEX(choices!A:A,MATCH(M127,choices!A:A,0)+20), "
",""))</f>
        <v xml:space="preserve">1. Yes
2. No
</v>
      </c>
      <c r="E127" s="366" t="s">
        <v>1265</v>
      </c>
      <c r="F127" s="276"/>
      <c r="G127" s="273" t="str">
        <f>CONCATENATE(INDEX(choices!C:C,MATCH(M127,choices!A:A,0)),"
",IF(M127=INDEX(choices!A:A,MATCH(M127,choices!A:A,0)+1),INDEX(choices!C:C,MATCH(M127,choices!A:A,0)+1),""),IF(M127=INDEX(choices!A:A,MATCH(M127,choices!A:A,0)+1), "
",""),IF(M127=INDEX(choices!A:A,MATCH(M127,choices!A:A,0)+2),INDEX(choices!C:C,MATCH(M127,choices!A:A,0)+2),""),IF(M127=INDEX(choices!A:A,MATCH(M127,choices!A:A,0)+2), "
",""),IF(M127=INDEX(choices!A:A,MATCH(M127,choices!A:A,0)+3),INDEX(choices!C:C,MATCH(M127,choices!A:A,0)+3),""),IF(M127=INDEX(choices!A:A,MATCH(M127,choices!A:A,0)+3), "
",""),IF(M127=INDEX(choices!A:A,MATCH(M127,choices!A:A,0)+4),INDEX(choices!C:C,MATCH(M127,choices!A:A,0)+4),""),IF(M127=INDEX(choices!A:A,MATCH(M127,choices!A:A,0)+4), "
",""),IF(M127=INDEX(choices!A:A,MATCH(M127,choices!A:A,0)+5),INDEX(choices!C:C,MATCH(M127,choices!A:A,0)+5),""),IF(M127=INDEX(choices!A:A,MATCH(M127,choices!A:A,0)+5), "
",""),IF(M127=INDEX(choices!A:A,MATCH(M127,choices!A:A,0)+6),INDEX(choices!C:C,MATCH(M127,choices!A:A,0)+6),""),IF(M127=INDEX(choices!A:A,MATCH(M127,choices!A:A,0)+6), "
",""),IF(M127=INDEX(choices!A:A,MATCH(M127,choices!A:A,0)+7),INDEX(choices!C:C,MATCH(M127,choices!A:A,0)+7),""),IF(M127=INDEX(choices!A:A,MATCH(M127,choices!A:A,0)+7), "
",""),IF(M127=INDEX(choices!A:A,MATCH(M127,choices!A:A,0)+8),INDEX(choices!C:C,MATCH(M127,choices!A:A,0)+8),""),IF(M127=INDEX(choices!A:A,MATCH(M127,choices!A:A,0)+8), "
",""),IF(M127=INDEX(choices!A:A,MATCH(M127,choices!A:A,0)+9),INDEX(choices!C:C,MATCH(M127,choices!A:A,0)+9),""),IF(M127=INDEX(choices!A:A,MATCH(M127,choices!A:A,0)+9), "
",""),IF(M127=INDEX(choices!A:A,MATCH(M127,choices!A:A,0)+10),INDEX(choices!C:C,MATCH(M127,choices!A:A,0)+10),""),IF(M127=INDEX(choices!A:A,MATCH(M127,choices!A:A,0)+10), "
",""),IF(M127=INDEX(choices!A:A,MATCH(M127,choices!A:A,0)+11),INDEX(choices!C:C,MATCH(M127,choices!A:A,0)+11),""),IF(M127=INDEX(choices!A:A,MATCH(M127,choices!A:A,0)+11), "
",""),IF(M127=INDEX(choices!A:A,MATCH(M127,choices!A:A,0)+12),INDEX(choices!C:C,MATCH(M127,choices!A:A,0)+12),""),IF(M127=INDEX(choices!A:A,MATCH(M127,choices!A:A,0)+12), "
",""),IF(M127=INDEX(choices!A:A,MATCH(M127,choices!A:A,0)+13),INDEX(choices!C:C,MATCH(M127,choices!A:A,0)+13),""),IF(M127=INDEX(choices!A:A,MATCH(M127,choices!A:A,0)+13), "
",""),IF(M127=INDEX(choices!A:A,MATCH(M127,choices!A:A,0)+14),INDEX(choices!C:C,MATCH(M127,choices!A:A,0)+14),""),IF(M127=INDEX(choices!A:A,MATCH(M127,choices!A:A,0)+14), "
",""),IF(M127=INDEX(choices!A:A,MATCH(M127,choices!A:A,0)+15),INDEX(choices!C:C,MATCH(M127,choices!A:A,0)+15),""),IF(M127=INDEX(choices!A:A,MATCH(M127,choices!A:A,0)+15), "
",""),IF(M127=INDEX(choices!A:A,MATCH(M127,choices!A:A,0)+16),INDEX(choices!C:C,MATCH(M127,choices!A:A,0)+16),""),IF(M127=INDEX(choices!A:A,MATCH(M127,choices!A:A,0)+16), "
",""),IF(M127=INDEX(choices!A:A,MATCH(M127,choices!A:A,0)+17),INDEX(choices!C:C,MATCH(M127,choices!A:A,0)+17),""),IF(M127=INDEX(choices!A:A,MATCH(M127,choices!A:A,0)+17), "
",""),IF(M127=INDEX(choices!A:A,MATCH(M127,choices!A:A,0)+18),INDEX(choices!C:C,MATCH(M127,choices!A:A,0)+18),""),IF(M127=INDEX(choices!A:A,MATCH(M127,choices!A:A,0)+18), "
",""),IF(M127=INDEX(choices!A:A,MATCH(M127,choices!A:A,0)+19),INDEX(choices!C:C,MATCH(M127,choices!A:A,0)+19),""),IF(M127=INDEX(choices!A:A,MATCH(M127,choices!A:A,0)+19), "
",""),IF(M127=INDEX(choices!A:A,MATCH(M127,choices!A:A,0)+20),INDEX(choices!C:C,MATCH(M127,choices!A:A,0)+20),""),IF(M127=INDEX(choices!A:A,MATCH(M127,choices!A:A,0)+20), "
","")," ")</f>
        <v xml:space="preserve">1. نعم
2. لا
 </v>
      </c>
      <c r="H127">
        <f t="shared" si="31"/>
        <v>5</v>
      </c>
      <c r="I127" s="274" t="str">
        <f t="shared" si="27"/>
        <v>14412_5</v>
      </c>
      <c r="L127" s="267" t="s">
        <v>170</v>
      </c>
      <c r="M127" s="275" t="s">
        <v>17</v>
      </c>
      <c r="N127" s="271" t="str">
        <f t="shared" si="28"/>
        <v>q14412_5</v>
      </c>
      <c r="O127" s="306" t="str">
        <f t="shared" si="29"/>
        <v>14412_5. بيع السلع المعمرة</v>
      </c>
      <c r="P127" s="257" t="str">
        <f t="shared" si="30"/>
        <v>14412_5. sold durable goods</v>
      </c>
      <c r="Q127" s="272"/>
      <c r="R127" s="272"/>
      <c r="S127"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27" s="47"/>
      <c r="U127" s="47"/>
      <c r="V127" s="47"/>
      <c r="W127" s="47"/>
      <c r="X127" s="47"/>
      <c r="Y127" s="71" t="b">
        <v>1</v>
      </c>
    </row>
    <row r="128" spans="1:31" ht="63">
      <c r="A128" s="271" t="str">
        <f t="shared" si="32"/>
        <v>14412_6</v>
      </c>
      <c r="B128" s="276" t="s">
        <v>898</v>
      </c>
      <c r="C128" s="276"/>
      <c r="D128" s="268" t="str">
        <f>CONCATENATE(INDEX(choices!D:D,MATCH(M128,choices!A:A,0)),"
",IF(M128=INDEX(choices!A:A,MATCH(M128,choices!A:A,0)+1),INDEX(choices!D:D,MATCH(M128,choices!A:A,0)+1),""),IF(M128=INDEX(choices!A:A,MATCH(M128,choices!A:A,0)+1), "
",""),IF(M128=INDEX(choices!A:A,MATCH(M128,choices!A:A,0)+2),INDEX(choices!D:D,MATCH(M128,choices!A:A,0)+2),""),IF(M128=INDEX(choices!A:A,MATCH(M128,choices!A:A,0)+2), "
",""),IF(M128=INDEX(choices!A:A,MATCH(M128,choices!A:A,0)+3),INDEX(choices!D:D,MATCH(M128,choices!A:A,0)+3),""),IF(M128=INDEX(choices!A:A,MATCH(M128,choices!A:A,0)+3), "
",""),IF(M128=INDEX(choices!A:A,MATCH(M128,choices!A:A,0)+4),INDEX(choices!D:D,MATCH(M128,choices!A:A,0)+4),""),IF(M128=INDEX(choices!A:A,MATCH(M128,choices!A:A,0)+4), "
",""),IF(M128=INDEX(choices!A:A,MATCH(M128,choices!A:A,0)+5),INDEX(choices!D:D,MATCH(M128,choices!A:A,0)+5),""),IF(M128=INDEX(choices!A:A,MATCH(M128,choices!A:A,0)+5), "
",""),IF(M128=INDEX(choices!A:A,MATCH(M128,choices!A:A,0)+6),INDEX(choices!D:D,MATCH(M128,choices!A:A,0)+6),""),IF(M128=INDEX(choices!A:A,MATCH(M128,choices!A:A,0)+6), "
",""),IF(M128=INDEX(choices!A:A,MATCH(M128,choices!A:A,0)+7),INDEX(choices!D:D,MATCH(M128,choices!A:A,0)+7),""),IF(M128=INDEX(choices!A:A,MATCH(M128,choices!A:A,0)+7), "
",""),IF(M128=INDEX(choices!A:A,MATCH(M128,choices!A:A,0)+8),INDEX(choices!D:D,MATCH(M128,choices!A:A,0)+8),""),IF(M128=INDEX(choices!A:A,MATCH(M128,choices!A:A,0)+8), "
",""),IF(M128=INDEX(choices!A:A,MATCH(M128,choices!A:A,0)+9),INDEX(choices!D:D,MATCH(M128,choices!A:A,0)+9),""),IF(M128=INDEX(choices!A:A,MATCH(M128,choices!A:A,0)+9), "
",""),IF(M128=INDEX(choices!A:A,MATCH(M128,choices!A:A,0)+10),INDEX(choices!D:D,MATCH(M128,choices!A:A,0)+10),""),IF(M128=INDEX(choices!A:A,MATCH(M128,choices!A:A,0)+10), "
",""),IF(M128=INDEX(choices!A:A,MATCH(M128,choices!A:A,0)+11),INDEX(choices!D:D,MATCH(M128,choices!A:A,0)+11),""),IF(M128=INDEX(choices!A:A,MATCH(M128,choices!A:A,0)+11), "
",""),IF(M128=INDEX(choices!A:A,MATCH(M128,choices!A:A,0)+12),INDEX(choices!D:D,MATCH(M128,choices!A:A,0)+12),""),IF(M128=INDEX(choices!A:A,MATCH(M128,choices!A:A,0)+12), "
",""),IF(M128=INDEX(choices!A:A,MATCH(M128,choices!A:A,0)+13),INDEX(choices!D:D,MATCH(M128,choices!A:A,0)+13),""),IF(M128=INDEX(choices!A:A,MATCH(M128,choices!A:A,0)+13), "
",""),IF(M128=INDEX(choices!A:A,MATCH(M128,choices!A:A,0)+14),INDEX(choices!D:D,MATCH(M128,choices!A:A,0)+14),""),IF(M128=INDEX(choices!A:A,MATCH(M128,choices!A:A,0)+14), "
",""),IF(M128=INDEX(choices!A:A,MATCH(M128,choices!A:A,0)+15),INDEX(choices!D:D,MATCH(M128,choices!A:A,0)+15),""),IF(M128=INDEX(choices!A:A,MATCH(M128,choices!A:A,0)+15), "
",""),IF(M128=INDEX(choices!A:A,MATCH(M128,choices!A:A,0)+16),INDEX(choices!D:D,MATCH(M128,choices!A:A,0)+16),""),IF(M128=INDEX(choices!A:A,MATCH(M128,choices!A:A,0)+16), "
",""),IF(M128=INDEX(choices!A:A,MATCH(M128,choices!A:A,0)+17),INDEX(choices!D:D,MATCH(M128,choices!A:A,0)+17),""),IF(M128=INDEX(choices!A:A,MATCH(M128,choices!A:A,0)+17), "
",""),IF(M128=INDEX(choices!A:A,MATCH(M128,choices!A:A,0)+18),INDEX(choices!D:D,MATCH(M128,choices!A:A,0)+18),""),IF(M128=INDEX(choices!A:A,MATCH(M128,choices!A:A,0)+18), "
",""),IF(M128=INDEX(choices!A:A,MATCH(M128,choices!A:A,0)+19),INDEX(choices!D:D,MATCH(M128,choices!A:A,0)+19),""),IF(M128=INDEX(choices!A:A,MATCH(M128,choices!A:A,0)+19), "
",""),IF(M128=INDEX(choices!A:A,MATCH(M128,choices!A:A,0)+20),INDEX(choices!D:D,MATCH(M128,choices!A:A,0)+20),""),IF(M128=INDEX(choices!A:A,MATCH(M128,choices!A:A,0)+20), "
",""))</f>
        <v xml:space="preserve">1. Yes
2. No
</v>
      </c>
      <c r="E128" s="366" t="s">
        <v>1266</v>
      </c>
      <c r="F128" s="276"/>
      <c r="G128" s="273" t="str">
        <f>CONCATENATE(INDEX(choices!C:C,MATCH(M128,choices!A:A,0)),"
",IF(M128=INDEX(choices!A:A,MATCH(M128,choices!A:A,0)+1),INDEX(choices!C:C,MATCH(M128,choices!A:A,0)+1),""),IF(M128=INDEX(choices!A:A,MATCH(M128,choices!A:A,0)+1), "
",""),IF(M128=INDEX(choices!A:A,MATCH(M128,choices!A:A,0)+2),INDEX(choices!C:C,MATCH(M128,choices!A:A,0)+2),""),IF(M128=INDEX(choices!A:A,MATCH(M128,choices!A:A,0)+2), "
",""),IF(M128=INDEX(choices!A:A,MATCH(M128,choices!A:A,0)+3),INDEX(choices!C:C,MATCH(M128,choices!A:A,0)+3),""),IF(M128=INDEX(choices!A:A,MATCH(M128,choices!A:A,0)+3), "
",""),IF(M128=INDEX(choices!A:A,MATCH(M128,choices!A:A,0)+4),INDEX(choices!C:C,MATCH(M128,choices!A:A,0)+4),""),IF(M128=INDEX(choices!A:A,MATCH(M128,choices!A:A,0)+4), "
",""),IF(M128=INDEX(choices!A:A,MATCH(M128,choices!A:A,0)+5),INDEX(choices!C:C,MATCH(M128,choices!A:A,0)+5),""),IF(M128=INDEX(choices!A:A,MATCH(M128,choices!A:A,0)+5), "
",""),IF(M128=INDEX(choices!A:A,MATCH(M128,choices!A:A,0)+6),INDEX(choices!C:C,MATCH(M128,choices!A:A,0)+6),""),IF(M128=INDEX(choices!A:A,MATCH(M128,choices!A:A,0)+6), "
",""),IF(M128=INDEX(choices!A:A,MATCH(M128,choices!A:A,0)+7),INDEX(choices!C:C,MATCH(M128,choices!A:A,0)+7),""),IF(M128=INDEX(choices!A:A,MATCH(M128,choices!A:A,0)+7), "
",""),IF(M128=INDEX(choices!A:A,MATCH(M128,choices!A:A,0)+8),INDEX(choices!C:C,MATCH(M128,choices!A:A,0)+8),""),IF(M128=INDEX(choices!A:A,MATCH(M128,choices!A:A,0)+8), "
",""),IF(M128=INDEX(choices!A:A,MATCH(M128,choices!A:A,0)+9),INDEX(choices!C:C,MATCH(M128,choices!A:A,0)+9),""),IF(M128=INDEX(choices!A:A,MATCH(M128,choices!A:A,0)+9), "
",""),IF(M128=INDEX(choices!A:A,MATCH(M128,choices!A:A,0)+10),INDEX(choices!C:C,MATCH(M128,choices!A:A,0)+10),""),IF(M128=INDEX(choices!A:A,MATCH(M128,choices!A:A,0)+10), "
",""),IF(M128=INDEX(choices!A:A,MATCH(M128,choices!A:A,0)+11),INDEX(choices!C:C,MATCH(M128,choices!A:A,0)+11),""),IF(M128=INDEX(choices!A:A,MATCH(M128,choices!A:A,0)+11), "
",""),IF(M128=INDEX(choices!A:A,MATCH(M128,choices!A:A,0)+12),INDEX(choices!C:C,MATCH(M128,choices!A:A,0)+12),""),IF(M128=INDEX(choices!A:A,MATCH(M128,choices!A:A,0)+12), "
",""),IF(M128=INDEX(choices!A:A,MATCH(M128,choices!A:A,0)+13),INDEX(choices!C:C,MATCH(M128,choices!A:A,0)+13),""),IF(M128=INDEX(choices!A:A,MATCH(M128,choices!A:A,0)+13), "
",""),IF(M128=INDEX(choices!A:A,MATCH(M128,choices!A:A,0)+14),INDEX(choices!C:C,MATCH(M128,choices!A:A,0)+14),""),IF(M128=INDEX(choices!A:A,MATCH(M128,choices!A:A,0)+14), "
",""),IF(M128=INDEX(choices!A:A,MATCH(M128,choices!A:A,0)+15),INDEX(choices!C:C,MATCH(M128,choices!A:A,0)+15),""),IF(M128=INDEX(choices!A:A,MATCH(M128,choices!A:A,0)+15), "
",""),IF(M128=INDEX(choices!A:A,MATCH(M128,choices!A:A,0)+16),INDEX(choices!C:C,MATCH(M128,choices!A:A,0)+16),""),IF(M128=INDEX(choices!A:A,MATCH(M128,choices!A:A,0)+16), "
",""),IF(M128=INDEX(choices!A:A,MATCH(M128,choices!A:A,0)+17),INDEX(choices!C:C,MATCH(M128,choices!A:A,0)+17),""),IF(M128=INDEX(choices!A:A,MATCH(M128,choices!A:A,0)+17), "
",""),IF(M128=INDEX(choices!A:A,MATCH(M128,choices!A:A,0)+18),INDEX(choices!C:C,MATCH(M128,choices!A:A,0)+18),""),IF(M128=INDEX(choices!A:A,MATCH(M128,choices!A:A,0)+18), "
",""),IF(M128=INDEX(choices!A:A,MATCH(M128,choices!A:A,0)+19),INDEX(choices!C:C,MATCH(M128,choices!A:A,0)+19),""),IF(M128=INDEX(choices!A:A,MATCH(M128,choices!A:A,0)+19), "
",""),IF(M128=INDEX(choices!A:A,MATCH(M128,choices!A:A,0)+20),INDEX(choices!C:C,MATCH(M128,choices!A:A,0)+20),""),IF(M128=INDEX(choices!A:A,MATCH(M128,choices!A:A,0)+20), "
","")," ")</f>
        <v xml:space="preserve">1. نعم
2. لا
 </v>
      </c>
      <c r="H128">
        <f t="shared" si="31"/>
        <v>6</v>
      </c>
      <c r="I128" s="274" t="str">
        <f t="shared" si="27"/>
        <v>14412_6</v>
      </c>
      <c r="L128" s="267" t="s">
        <v>170</v>
      </c>
      <c r="M128" s="275" t="s">
        <v>17</v>
      </c>
      <c r="N128" s="271" t="str">
        <f t="shared" si="28"/>
        <v>q14412_6</v>
      </c>
      <c r="O128" s="306" t="str">
        <f t="shared" si="29"/>
        <v>14412_6. إرسال بعض أفراد الأسرة للعيش مع أقارب آخرين</v>
      </c>
      <c r="P128" s="257" t="str">
        <f t="shared" si="30"/>
        <v>14412_6. sent family members to live with other relatives</v>
      </c>
      <c r="Q128" s="272"/>
      <c r="R128" s="272"/>
      <c r="S128"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28" s="47"/>
      <c r="U128" s="47"/>
      <c r="V128" s="47"/>
      <c r="W128" s="47"/>
      <c r="X128" s="47"/>
      <c r="Y128" s="71" t="b">
        <v>1</v>
      </c>
    </row>
    <row r="129" spans="1:31" ht="47.25">
      <c r="A129" s="271" t="str">
        <f t="shared" si="32"/>
        <v>14412_7</v>
      </c>
      <c r="B129" s="276" t="s">
        <v>899</v>
      </c>
      <c r="C129" s="276"/>
      <c r="D129" s="268" t="str">
        <f>CONCATENATE(INDEX(choices!D:D,MATCH(M129,choices!A:A,0)),"
",IF(M129=INDEX(choices!A:A,MATCH(M129,choices!A:A,0)+1),INDEX(choices!D:D,MATCH(M129,choices!A:A,0)+1),""),IF(M129=INDEX(choices!A:A,MATCH(M129,choices!A:A,0)+1), "
",""),IF(M129=INDEX(choices!A:A,MATCH(M129,choices!A:A,0)+2),INDEX(choices!D:D,MATCH(M129,choices!A:A,0)+2),""),IF(M129=INDEX(choices!A:A,MATCH(M129,choices!A:A,0)+2), "
",""),IF(M129=INDEX(choices!A:A,MATCH(M129,choices!A:A,0)+3),INDEX(choices!D:D,MATCH(M129,choices!A:A,0)+3),""),IF(M129=INDEX(choices!A:A,MATCH(M129,choices!A:A,0)+3), "
",""),IF(M129=INDEX(choices!A:A,MATCH(M129,choices!A:A,0)+4),INDEX(choices!D:D,MATCH(M129,choices!A:A,0)+4),""),IF(M129=INDEX(choices!A:A,MATCH(M129,choices!A:A,0)+4), "
",""),IF(M129=INDEX(choices!A:A,MATCH(M129,choices!A:A,0)+5),INDEX(choices!D:D,MATCH(M129,choices!A:A,0)+5),""),IF(M129=INDEX(choices!A:A,MATCH(M129,choices!A:A,0)+5), "
",""),IF(M129=INDEX(choices!A:A,MATCH(M129,choices!A:A,0)+6),INDEX(choices!D:D,MATCH(M129,choices!A:A,0)+6),""),IF(M129=INDEX(choices!A:A,MATCH(M129,choices!A:A,0)+6), "
",""),IF(M129=INDEX(choices!A:A,MATCH(M129,choices!A:A,0)+7),INDEX(choices!D:D,MATCH(M129,choices!A:A,0)+7),""),IF(M129=INDEX(choices!A:A,MATCH(M129,choices!A:A,0)+7), "
",""),IF(M129=INDEX(choices!A:A,MATCH(M129,choices!A:A,0)+8),INDEX(choices!D:D,MATCH(M129,choices!A:A,0)+8),""),IF(M129=INDEX(choices!A:A,MATCH(M129,choices!A:A,0)+8), "
",""),IF(M129=INDEX(choices!A:A,MATCH(M129,choices!A:A,0)+9),INDEX(choices!D:D,MATCH(M129,choices!A:A,0)+9),""),IF(M129=INDEX(choices!A:A,MATCH(M129,choices!A:A,0)+9), "
",""),IF(M129=INDEX(choices!A:A,MATCH(M129,choices!A:A,0)+10),INDEX(choices!D:D,MATCH(M129,choices!A:A,0)+10),""),IF(M129=INDEX(choices!A:A,MATCH(M129,choices!A:A,0)+10), "
",""),IF(M129=INDEX(choices!A:A,MATCH(M129,choices!A:A,0)+11),INDEX(choices!D:D,MATCH(M129,choices!A:A,0)+11),""),IF(M129=INDEX(choices!A:A,MATCH(M129,choices!A:A,0)+11), "
",""),IF(M129=INDEX(choices!A:A,MATCH(M129,choices!A:A,0)+12),INDEX(choices!D:D,MATCH(M129,choices!A:A,0)+12),""),IF(M129=INDEX(choices!A:A,MATCH(M129,choices!A:A,0)+12), "
",""),IF(M129=INDEX(choices!A:A,MATCH(M129,choices!A:A,0)+13),INDEX(choices!D:D,MATCH(M129,choices!A:A,0)+13),""),IF(M129=INDEX(choices!A:A,MATCH(M129,choices!A:A,0)+13), "
",""),IF(M129=INDEX(choices!A:A,MATCH(M129,choices!A:A,0)+14),INDEX(choices!D:D,MATCH(M129,choices!A:A,0)+14),""),IF(M129=INDEX(choices!A:A,MATCH(M129,choices!A:A,0)+14), "
",""),IF(M129=INDEX(choices!A:A,MATCH(M129,choices!A:A,0)+15),INDEX(choices!D:D,MATCH(M129,choices!A:A,0)+15),""),IF(M129=INDEX(choices!A:A,MATCH(M129,choices!A:A,0)+15), "
",""),IF(M129=INDEX(choices!A:A,MATCH(M129,choices!A:A,0)+16),INDEX(choices!D:D,MATCH(M129,choices!A:A,0)+16),""),IF(M129=INDEX(choices!A:A,MATCH(M129,choices!A:A,0)+16), "
",""),IF(M129=INDEX(choices!A:A,MATCH(M129,choices!A:A,0)+17),INDEX(choices!D:D,MATCH(M129,choices!A:A,0)+17),""),IF(M129=INDEX(choices!A:A,MATCH(M129,choices!A:A,0)+17), "
",""),IF(M129=INDEX(choices!A:A,MATCH(M129,choices!A:A,0)+18),INDEX(choices!D:D,MATCH(M129,choices!A:A,0)+18),""),IF(M129=INDEX(choices!A:A,MATCH(M129,choices!A:A,0)+18), "
",""),IF(M129=INDEX(choices!A:A,MATCH(M129,choices!A:A,0)+19),INDEX(choices!D:D,MATCH(M129,choices!A:A,0)+19),""),IF(M129=INDEX(choices!A:A,MATCH(M129,choices!A:A,0)+19), "
",""),IF(M129=INDEX(choices!A:A,MATCH(M129,choices!A:A,0)+20),INDEX(choices!D:D,MATCH(M129,choices!A:A,0)+20),""),IF(M129=INDEX(choices!A:A,MATCH(M129,choices!A:A,0)+20), "
",""))</f>
        <v xml:space="preserve">1. Yes
2. No
</v>
      </c>
      <c r="E129" s="366" t="s">
        <v>1267</v>
      </c>
      <c r="F129" s="276"/>
      <c r="G129" s="273" t="str">
        <f>CONCATENATE(INDEX(choices!C:C,MATCH(M129,choices!A:A,0)),"
",IF(M129=INDEX(choices!A:A,MATCH(M129,choices!A:A,0)+1),INDEX(choices!C:C,MATCH(M129,choices!A:A,0)+1),""),IF(M129=INDEX(choices!A:A,MATCH(M129,choices!A:A,0)+1), "
",""),IF(M129=INDEX(choices!A:A,MATCH(M129,choices!A:A,0)+2),INDEX(choices!C:C,MATCH(M129,choices!A:A,0)+2),""),IF(M129=INDEX(choices!A:A,MATCH(M129,choices!A:A,0)+2), "
",""),IF(M129=INDEX(choices!A:A,MATCH(M129,choices!A:A,0)+3),INDEX(choices!C:C,MATCH(M129,choices!A:A,0)+3),""),IF(M129=INDEX(choices!A:A,MATCH(M129,choices!A:A,0)+3), "
",""),IF(M129=INDEX(choices!A:A,MATCH(M129,choices!A:A,0)+4),INDEX(choices!C:C,MATCH(M129,choices!A:A,0)+4),""),IF(M129=INDEX(choices!A:A,MATCH(M129,choices!A:A,0)+4), "
",""),IF(M129=INDEX(choices!A:A,MATCH(M129,choices!A:A,0)+5),INDEX(choices!C:C,MATCH(M129,choices!A:A,0)+5),""),IF(M129=INDEX(choices!A:A,MATCH(M129,choices!A:A,0)+5), "
",""),IF(M129=INDEX(choices!A:A,MATCH(M129,choices!A:A,0)+6),INDEX(choices!C:C,MATCH(M129,choices!A:A,0)+6),""),IF(M129=INDEX(choices!A:A,MATCH(M129,choices!A:A,0)+6), "
",""),IF(M129=INDEX(choices!A:A,MATCH(M129,choices!A:A,0)+7),INDEX(choices!C:C,MATCH(M129,choices!A:A,0)+7),""),IF(M129=INDEX(choices!A:A,MATCH(M129,choices!A:A,0)+7), "
",""),IF(M129=INDEX(choices!A:A,MATCH(M129,choices!A:A,0)+8),INDEX(choices!C:C,MATCH(M129,choices!A:A,0)+8),""),IF(M129=INDEX(choices!A:A,MATCH(M129,choices!A:A,0)+8), "
",""),IF(M129=INDEX(choices!A:A,MATCH(M129,choices!A:A,0)+9),INDEX(choices!C:C,MATCH(M129,choices!A:A,0)+9),""),IF(M129=INDEX(choices!A:A,MATCH(M129,choices!A:A,0)+9), "
",""),IF(M129=INDEX(choices!A:A,MATCH(M129,choices!A:A,0)+10),INDEX(choices!C:C,MATCH(M129,choices!A:A,0)+10),""),IF(M129=INDEX(choices!A:A,MATCH(M129,choices!A:A,0)+10), "
",""),IF(M129=INDEX(choices!A:A,MATCH(M129,choices!A:A,0)+11),INDEX(choices!C:C,MATCH(M129,choices!A:A,0)+11),""),IF(M129=INDEX(choices!A:A,MATCH(M129,choices!A:A,0)+11), "
",""),IF(M129=INDEX(choices!A:A,MATCH(M129,choices!A:A,0)+12),INDEX(choices!C:C,MATCH(M129,choices!A:A,0)+12),""),IF(M129=INDEX(choices!A:A,MATCH(M129,choices!A:A,0)+12), "
",""),IF(M129=INDEX(choices!A:A,MATCH(M129,choices!A:A,0)+13),INDEX(choices!C:C,MATCH(M129,choices!A:A,0)+13),""),IF(M129=INDEX(choices!A:A,MATCH(M129,choices!A:A,0)+13), "
",""),IF(M129=INDEX(choices!A:A,MATCH(M129,choices!A:A,0)+14),INDEX(choices!C:C,MATCH(M129,choices!A:A,0)+14),""),IF(M129=INDEX(choices!A:A,MATCH(M129,choices!A:A,0)+14), "
",""),IF(M129=INDEX(choices!A:A,MATCH(M129,choices!A:A,0)+15),INDEX(choices!C:C,MATCH(M129,choices!A:A,0)+15),""),IF(M129=INDEX(choices!A:A,MATCH(M129,choices!A:A,0)+15), "
",""),IF(M129=INDEX(choices!A:A,MATCH(M129,choices!A:A,0)+16),INDEX(choices!C:C,MATCH(M129,choices!A:A,0)+16),""),IF(M129=INDEX(choices!A:A,MATCH(M129,choices!A:A,0)+16), "
",""),IF(M129=INDEX(choices!A:A,MATCH(M129,choices!A:A,0)+17),INDEX(choices!C:C,MATCH(M129,choices!A:A,0)+17),""),IF(M129=INDEX(choices!A:A,MATCH(M129,choices!A:A,0)+17), "
",""),IF(M129=INDEX(choices!A:A,MATCH(M129,choices!A:A,0)+18),INDEX(choices!C:C,MATCH(M129,choices!A:A,0)+18),""),IF(M129=INDEX(choices!A:A,MATCH(M129,choices!A:A,0)+18), "
",""),IF(M129=INDEX(choices!A:A,MATCH(M129,choices!A:A,0)+19),INDEX(choices!C:C,MATCH(M129,choices!A:A,0)+19),""),IF(M129=INDEX(choices!A:A,MATCH(M129,choices!A:A,0)+19), "
",""),IF(M129=INDEX(choices!A:A,MATCH(M129,choices!A:A,0)+20),INDEX(choices!C:C,MATCH(M129,choices!A:A,0)+20),""),IF(M129=INDEX(choices!A:A,MATCH(M129,choices!A:A,0)+20), "
","")," ")</f>
        <v xml:space="preserve">1. نعم
2. لا
 </v>
      </c>
      <c r="H129">
        <f t="shared" si="31"/>
        <v>7</v>
      </c>
      <c r="I129" s="274" t="str">
        <f t="shared" si="27"/>
        <v>14412_7</v>
      </c>
      <c r="L129" s="267" t="s">
        <v>170</v>
      </c>
      <c r="M129" s="275" t="s">
        <v>17</v>
      </c>
      <c r="N129" s="271" t="str">
        <f t="shared" si="28"/>
        <v>q14412_7</v>
      </c>
      <c r="O129" s="306" t="str">
        <f t="shared" si="29"/>
        <v>14412_7. تخفيض الإنفاق على الصحة</v>
      </c>
      <c r="P129" s="257" t="str">
        <f t="shared" si="30"/>
        <v>14412_7. reduced spending on health</v>
      </c>
      <c r="Q129" s="272"/>
      <c r="R129" s="272"/>
      <c r="S129"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29" s="47"/>
      <c r="U129" s="47"/>
      <c r="V129" s="47"/>
      <c r="W129" s="47"/>
      <c r="X129" s="47"/>
      <c r="Y129" s="71" t="b">
        <v>1</v>
      </c>
    </row>
    <row r="130" spans="1:31" ht="47.25">
      <c r="A130" s="271" t="str">
        <f t="shared" si="32"/>
        <v>14412_8</v>
      </c>
      <c r="B130" s="276" t="s">
        <v>900</v>
      </c>
      <c r="C130" s="276"/>
      <c r="D130" s="268" t="str">
        <f>CONCATENATE(INDEX(choices!D:D,MATCH(M130,choices!A:A,0)),"
",IF(M130=INDEX(choices!A:A,MATCH(M130,choices!A:A,0)+1),INDEX(choices!D:D,MATCH(M130,choices!A:A,0)+1),""),IF(M130=INDEX(choices!A:A,MATCH(M130,choices!A:A,0)+1), "
",""),IF(M130=INDEX(choices!A:A,MATCH(M130,choices!A:A,0)+2),INDEX(choices!D:D,MATCH(M130,choices!A:A,0)+2),""),IF(M130=INDEX(choices!A:A,MATCH(M130,choices!A:A,0)+2), "
",""),IF(M130=INDEX(choices!A:A,MATCH(M130,choices!A:A,0)+3),INDEX(choices!D:D,MATCH(M130,choices!A:A,0)+3),""),IF(M130=INDEX(choices!A:A,MATCH(M130,choices!A:A,0)+3), "
",""),IF(M130=INDEX(choices!A:A,MATCH(M130,choices!A:A,0)+4),INDEX(choices!D:D,MATCH(M130,choices!A:A,0)+4),""),IF(M130=INDEX(choices!A:A,MATCH(M130,choices!A:A,0)+4), "
",""),IF(M130=INDEX(choices!A:A,MATCH(M130,choices!A:A,0)+5),INDEX(choices!D:D,MATCH(M130,choices!A:A,0)+5),""),IF(M130=INDEX(choices!A:A,MATCH(M130,choices!A:A,0)+5), "
",""),IF(M130=INDEX(choices!A:A,MATCH(M130,choices!A:A,0)+6),INDEX(choices!D:D,MATCH(M130,choices!A:A,0)+6),""),IF(M130=INDEX(choices!A:A,MATCH(M130,choices!A:A,0)+6), "
",""),IF(M130=INDEX(choices!A:A,MATCH(M130,choices!A:A,0)+7),INDEX(choices!D:D,MATCH(M130,choices!A:A,0)+7),""),IF(M130=INDEX(choices!A:A,MATCH(M130,choices!A:A,0)+7), "
",""),IF(M130=INDEX(choices!A:A,MATCH(M130,choices!A:A,0)+8),INDEX(choices!D:D,MATCH(M130,choices!A:A,0)+8),""),IF(M130=INDEX(choices!A:A,MATCH(M130,choices!A:A,0)+8), "
",""),IF(M130=INDEX(choices!A:A,MATCH(M130,choices!A:A,0)+9),INDEX(choices!D:D,MATCH(M130,choices!A:A,0)+9),""),IF(M130=INDEX(choices!A:A,MATCH(M130,choices!A:A,0)+9), "
",""),IF(M130=INDEX(choices!A:A,MATCH(M130,choices!A:A,0)+10),INDEX(choices!D:D,MATCH(M130,choices!A:A,0)+10),""),IF(M130=INDEX(choices!A:A,MATCH(M130,choices!A:A,0)+10), "
",""),IF(M130=INDEX(choices!A:A,MATCH(M130,choices!A:A,0)+11),INDEX(choices!D:D,MATCH(M130,choices!A:A,0)+11),""),IF(M130=INDEX(choices!A:A,MATCH(M130,choices!A:A,0)+11), "
",""),IF(M130=INDEX(choices!A:A,MATCH(M130,choices!A:A,0)+12),INDEX(choices!D:D,MATCH(M130,choices!A:A,0)+12),""),IF(M130=INDEX(choices!A:A,MATCH(M130,choices!A:A,0)+12), "
",""),IF(M130=INDEX(choices!A:A,MATCH(M130,choices!A:A,0)+13),INDEX(choices!D:D,MATCH(M130,choices!A:A,0)+13),""),IF(M130=INDEX(choices!A:A,MATCH(M130,choices!A:A,0)+13), "
",""),IF(M130=INDEX(choices!A:A,MATCH(M130,choices!A:A,0)+14),INDEX(choices!D:D,MATCH(M130,choices!A:A,0)+14),""),IF(M130=INDEX(choices!A:A,MATCH(M130,choices!A:A,0)+14), "
",""),IF(M130=INDEX(choices!A:A,MATCH(M130,choices!A:A,0)+15),INDEX(choices!D:D,MATCH(M130,choices!A:A,0)+15),""),IF(M130=INDEX(choices!A:A,MATCH(M130,choices!A:A,0)+15), "
",""),IF(M130=INDEX(choices!A:A,MATCH(M130,choices!A:A,0)+16),INDEX(choices!D:D,MATCH(M130,choices!A:A,0)+16),""),IF(M130=INDEX(choices!A:A,MATCH(M130,choices!A:A,0)+16), "
",""),IF(M130=INDEX(choices!A:A,MATCH(M130,choices!A:A,0)+17),INDEX(choices!D:D,MATCH(M130,choices!A:A,0)+17),""),IF(M130=INDEX(choices!A:A,MATCH(M130,choices!A:A,0)+17), "
",""),IF(M130=INDEX(choices!A:A,MATCH(M130,choices!A:A,0)+18),INDEX(choices!D:D,MATCH(M130,choices!A:A,0)+18),""),IF(M130=INDEX(choices!A:A,MATCH(M130,choices!A:A,0)+18), "
",""),IF(M130=INDEX(choices!A:A,MATCH(M130,choices!A:A,0)+19),INDEX(choices!D:D,MATCH(M130,choices!A:A,0)+19),""),IF(M130=INDEX(choices!A:A,MATCH(M130,choices!A:A,0)+19), "
",""),IF(M130=INDEX(choices!A:A,MATCH(M130,choices!A:A,0)+20),INDEX(choices!D:D,MATCH(M130,choices!A:A,0)+20),""),IF(M130=INDEX(choices!A:A,MATCH(M130,choices!A:A,0)+20), "
",""))</f>
        <v xml:space="preserve">1. Yes
2. No
</v>
      </c>
      <c r="E130" s="366" t="s">
        <v>1268</v>
      </c>
      <c r="F130" s="276"/>
      <c r="G130" s="273" t="str">
        <f>CONCATENATE(INDEX(choices!C:C,MATCH(M130,choices!A:A,0)),"
",IF(M130=INDEX(choices!A:A,MATCH(M130,choices!A:A,0)+1),INDEX(choices!C:C,MATCH(M130,choices!A:A,0)+1),""),IF(M130=INDEX(choices!A:A,MATCH(M130,choices!A:A,0)+1), "
",""),IF(M130=INDEX(choices!A:A,MATCH(M130,choices!A:A,0)+2),INDEX(choices!C:C,MATCH(M130,choices!A:A,0)+2),""),IF(M130=INDEX(choices!A:A,MATCH(M130,choices!A:A,0)+2), "
",""),IF(M130=INDEX(choices!A:A,MATCH(M130,choices!A:A,0)+3),INDEX(choices!C:C,MATCH(M130,choices!A:A,0)+3),""),IF(M130=INDEX(choices!A:A,MATCH(M130,choices!A:A,0)+3), "
",""),IF(M130=INDEX(choices!A:A,MATCH(M130,choices!A:A,0)+4),INDEX(choices!C:C,MATCH(M130,choices!A:A,0)+4),""),IF(M130=INDEX(choices!A:A,MATCH(M130,choices!A:A,0)+4), "
",""),IF(M130=INDEX(choices!A:A,MATCH(M130,choices!A:A,0)+5),INDEX(choices!C:C,MATCH(M130,choices!A:A,0)+5),""),IF(M130=INDEX(choices!A:A,MATCH(M130,choices!A:A,0)+5), "
",""),IF(M130=INDEX(choices!A:A,MATCH(M130,choices!A:A,0)+6),INDEX(choices!C:C,MATCH(M130,choices!A:A,0)+6),""),IF(M130=INDEX(choices!A:A,MATCH(M130,choices!A:A,0)+6), "
",""),IF(M130=INDEX(choices!A:A,MATCH(M130,choices!A:A,0)+7),INDEX(choices!C:C,MATCH(M130,choices!A:A,0)+7),""),IF(M130=INDEX(choices!A:A,MATCH(M130,choices!A:A,0)+7), "
",""),IF(M130=INDEX(choices!A:A,MATCH(M130,choices!A:A,0)+8),INDEX(choices!C:C,MATCH(M130,choices!A:A,0)+8),""),IF(M130=INDEX(choices!A:A,MATCH(M130,choices!A:A,0)+8), "
",""),IF(M130=INDEX(choices!A:A,MATCH(M130,choices!A:A,0)+9),INDEX(choices!C:C,MATCH(M130,choices!A:A,0)+9),""),IF(M130=INDEX(choices!A:A,MATCH(M130,choices!A:A,0)+9), "
",""),IF(M130=INDEX(choices!A:A,MATCH(M130,choices!A:A,0)+10),INDEX(choices!C:C,MATCH(M130,choices!A:A,0)+10),""),IF(M130=INDEX(choices!A:A,MATCH(M130,choices!A:A,0)+10), "
",""),IF(M130=INDEX(choices!A:A,MATCH(M130,choices!A:A,0)+11),INDEX(choices!C:C,MATCH(M130,choices!A:A,0)+11),""),IF(M130=INDEX(choices!A:A,MATCH(M130,choices!A:A,0)+11), "
",""),IF(M130=INDEX(choices!A:A,MATCH(M130,choices!A:A,0)+12),INDEX(choices!C:C,MATCH(M130,choices!A:A,0)+12),""),IF(M130=INDEX(choices!A:A,MATCH(M130,choices!A:A,0)+12), "
",""),IF(M130=INDEX(choices!A:A,MATCH(M130,choices!A:A,0)+13),INDEX(choices!C:C,MATCH(M130,choices!A:A,0)+13),""),IF(M130=INDEX(choices!A:A,MATCH(M130,choices!A:A,0)+13), "
",""),IF(M130=INDEX(choices!A:A,MATCH(M130,choices!A:A,0)+14),INDEX(choices!C:C,MATCH(M130,choices!A:A,0)+14),""),IF(M130=INDEX(choices!A:A,MATCH(M130,choices!A:A,0)+14), "
",""),IF(M130=INDEX(choices!A:A,MATCH(M130,choices!A:A,0)+15),INDEX(choices!C:C,MATCH(M130,choices!A:A,0)+15),""),IF(M130=INDEX(choices!A:A,MATCH(M130,choices!A:A,0)+15), "
",""),IF(M130=INDEX(choices!A:A,MATCH(M130,choices!A:A,0)+16),INDEX(choices!C:C,MATCH(M130,choices!A:A,0)+16),""),IF(M130=INDEX(choices!A:A,MATCH(M130,choices!A:A,0)+16), "
",""),IF(M130=INDEX(choices!A:A,MATCH(M130,choices!A:A,0)+17),INDEX(choices!C:C,MATCH(M130,choices!A:A,0)+17),""),IF(M130=INDEX(choices!A:A,MATCH(M130,choices!A:A,0)+17), "
",""),IF(M130=INDEX(choices!A:A,MATCH(M130,choices!A:A,0)+18),INDEX(choices!C:C,MATCH(M130,choices!A:A,0)+18),""),IF(M130=INDEX(choices!A:A,MATCH(M130,choices!A:A,0)+18), "
",""),IF(M130=INDEX(choices!A:A,MATCH(M130,choices!A:A,0)+19),INDEX(choices!C:C,MATCH(M130,choices!A:A,0)+19),""),IF(M130=INDEX(choices!A:A,MATCH(M130,choices!A:A,0)+19), "
",""),IF(M130=INDEX(choices!A:A,MATCH(M130,choices!A:A,0)+20),INDEX(choices!C:C,MATCH(M130,choices!A:A,0)+20),""),IF(M130=INDEX(choices!A:A,MATCH(M130,choices!A:A,0)+20), "
","")," ")</f>
        <v xml:space="preserve">1. نعم
2. لا
 </v>
      </c>
      <c r="H130">
        <f t="shared" si="31"/>
        <v>8</v>
      </c>
      <c r="I130" s="274" t="str">
        <f t="shared" si="27"/>
        <v>14412_8</v>
      </c>
      <c r="L130" s="267" t="s">
        <v>170</v>
      </c>
      <c r="M130" s="275" t="s">
        <v>17</v>
      </c>
      <c r="N130" s="271" t="str">
        <f t="shared" si="28"/>
        <v>q14412_8</v>
      </c>
      <c r="O130" s="306" t="str">
        <f t="shared" si="29"/>
        <v>14412_8. تخفيض الإنفاق على التعليم</v>
      </c>
      <c r="P130" s="257" t="str">
        <f t="shared" si="30"/>
        <v>14412_8. reduced spending on education</v>
      </c>
      <c r="Q130" s="272"/>
      <c r="R130" s="272"/>
      <c r="S130"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30" s="47"/>
      <c r="U130" s="47"/>
      <c r="V130" s="47"/>
      <c r="W130" s="47"/>
      <c r="X130" s="47"/>
      <c r="Y130" s="71" t="b">
        <v>1</v>
      </c>
    </row>
    <row r="131" spans="1:31" ht="39">
      <c r="A131" s="271" t="str">
        <f t="shared" si="32"/>
        <v>14412_9</v>
      </c>
      <c r="B131" s="276" t="s">
        <v>901</v>
      </c>
      <c r="C131" s="276"/>
      <c r="D131" s="268" t="str">
        <f>CONCATENATE(INDEX(choices!D:D,MATCH(M131,choices!A:A,0)),"
",IF(M131=INDEX(choices!A:A,MATCH(M131,choices!A:A,0)+1),INDEX(choices!D:D,MATCH(M131,choices!A:A,0)+1),""),IF(M131=INDEX(choices!A:A,MATCH(M131,choices!A:A,0)+1), "
",""),IF(M131=INDEX(choices!A:A,MATCH(M131,choices!A:A,0)+2),INDEX(choices!D:D,MATCH(M131,choices!A:A,0)+2),""),IF(M131=INDEX(choices!A:A,MATCH(M131,choices!A:A,0)+2), "
",""),IF(M131=INDEX(choices!A:A,MATCH(M131,choices!A:A,0)+3),INDEX(choices!D:D,MATCH(M131,choices!A:A,0)+3),""),IF(M131=INDEX(choices!A:A,MATCH(M131,choices!A:A,0)+3), "
",""),IF(M131=INDEX(choices!A:A,MATCH(M131,choices!A:A,0)+4),INDEX(choices!D:D,MATCH(M131,choices!A:A,0)+4),""),IF(M131=INDEX(choices!A:A,MATCH(M131,choices!A:A,0)+4), "
",""),IF(M131=INDEX(choices!A:A,MATCH(M131,choices!A:A,0)+5),INDEX(choices!D:D,MATCH(M131,choices!A:A,0)+5),""),IF(M131=INDEX(choices!A:A,MATCH(M131,choices!A:A,0)+5), "
",""),IF(M131=INDEX(choices!A:A,MATCH(M131,choices!A:A,0)+6),INDEX(choices!D:D,MATCH(M131,choices!A:A,0)+6),""),IF(M131=INDEX(choices!A:A,MATCH(M131,choices!A:A,0)+6), "
",""),IF(M131=INDEX(choices!A:A,MATCH(M131,choices!A:A,0)+7),INDEX(choices!D:D,MATCH(M131,choices!A:A,0)+7),""),IF(M131=INDEX(choices!A:A,MATCH(M131,choices!A:A,0)+7), "
",""),IF(M131=INDEX(choices!A:A,MATCH(M131,choices!A:A,0)+8),INDEX(choices!D:D,MATCH(M131,choices!A:A,0)+8),""),IF(M131=INDEX(choices!A:A,MATCH(M131,choices!A:A,0)+8), "
",""),IF(M131=INDEX(choices!A:A,MATCH(M131,choices!A:A,0)+9),INDEX(choices!D:D,MATCH(M131,choices!A:A,0)+9),""),IF(M131=INDEX(choices!A:A,MATCH(M131,choices!A:A,0)+9), "
",""),IF(M131=INDEX(choices!A:A,MATCH(M131,choices!A:A,0)+10),INDEX(choices!D:D,MATCH(M131,choices!A:A,0)+10),""),IF(M131=INDEX(choices!A:A,MATCH(M131,choices!A:A,0)+10), "
",""),IF(M131=INDEX(choices!A:A,MATCH(M131,choices!A:A,0)+11),INDEX(choices!D:D,MATCH(M131,choices!A:A,0)+11),""),IF(M131=INDEX(choices!A:A,MATCH(M131,choices!A:A,0)+11), "
",""),IF(M131=INDEX(choices!A:A,MATCH(M131,choices!A:A,0)+12),INDEX(choices!D:D,MATCH(M131,choices!A:A,0)+12),""),IF(M131=INDEX(choices!A:A,MATCH(M131,choices!A:A,0)+12), "
",""),IF(M131=INDEX(choices!A:A,MATCH(M131,choices!A:A,0)+13),INDEX(choices!D:D,MATCH(M131,choices!A:A,0)+13),""),IF(M131=INDEX(choices!A:A,MATCH(M131,choices!A:A,0)+13), "
",""),IF(M131=INDEX(choices!A:A,MATCH(M131,choices!A:A,0)+14),INDEX(choices!D:D,MATCH(M131,choices!A:A,0)+14),""),IF(M131=INDEX(choices!A:A,MATCH(M131,choices!A:A,0)+14), "
",""),IF(M131=INDEX(choices!A:A,MATCH(M131,choices!A:A,0)+15),INDEX(choices!D:D,MATCH(M131,choices!A:A,0)+15),""),IF(M131=INDEX(choices!A:A,MATCH(M131,choices!A:A,0)+15), "
",""),IF(M131=INDEX(choices!A:A,MATCH(M131,choices!A:A,0)+16),INDEX(choices!D:D,MATCH(M131,choices!A:A,0)+16),""),IF(M131=INDEX(choices!A:A,MATCH(M131,choices!A:A,0)+16), "
",""),IF(M131=INDEX(choices!A:A,MATCH(M131,choices!A:A,0)+17),INDEX(choices!D:D,MATCH(M131,choices!A:A,0)+17),""),IF(M131=INDEX(choices!A:A,MATCH(M131,choices!A:A,0)+17), "
",""),IF(M131=INDEX(choices!A:A,MATCH(M131,choices!A:A,0)+18),INDEX(choices!D:D,MATCH(M131,choices!A:A,0)+18),""),IF(M131=INDEX(choices!A:A,MATCH(M131,choices!A:A,0)+18), "
",""),IF(M131=INDEX(choices!A:A,MATCH(M131,choices!A:A,0)+19),INDEX(choices!D:D,MATCH(M131,choices!A:A,0)+19),""),IF(M131=INDEX(choices!A:A,MATCH(M131,choices!A:A,0)+19), "
",""),IF(M131=INDEX(choices!A:A,MATCH(M131,choices!A:A,0)+20),INDEX(choices!D:D,MATCH(M131,choices!A:A,0)+20),""),IF(M131=INDEX(choices!A:A,MATCH(M131,choices!A:A,0)+20), "
",""))</f>
        <v xml:space="preserve">1. Yes
2. No
</v>
      </c>
      <c r="E131" s="366" t="s">
        <v>1269</v>
      </c>
      <c r="F131" s="276"/>
      <c r="G131" s="273" t="str">
        <f>CONCATENATE(INDEX(choices!C:C,MATCH(M131,choices!A:A,0)),"
",IF(M131=INDEX(choices!A:A,MATCH(M131,choices!A:A,0)+1),INDEX(choices!C:C,MATCH(M131,choices!A:A,0)+1),""),IF(M131=INDEX(choices!A:A,MATCH(M131,choices!A:A,0)+1), "
",""),IF(M131=INDEX(choices!A:A,MATCH(M131,choices!A:A,0)+2),INDEX(choices!C:C,MATCH(M131,choices!A:A,0)+2),""),IF(M131=INDEX(choices!A:A,MATCH(M131,choices!A:A,0)+2), "
",""),IF(M131=INDEX(choices!A:A,MATCH(M131,choices!A:A,0)+3),INDEX(choices!C:C,MATCH(M131,choices!A:A,0)+3),""),IF(M131=INDEX(choices!A:A,MATCH(M131,choices!A:A,0)+3), "
",""),IF(M131=INDEX(choices!A:A,MATCH(M131,choices!A:A,0)+4),INDEX(choices!C:C,MATCH(M131,choices!A:A,0)+4),""),IF(M131=INDEX(choices!A:A,MATCH(M131,choices!A:A,0)+4), "
",""),IF(M131=INDEX(choices!A:A,MATCH(M131,choices!A:A,0)+5),INDEX(choices!C:C,MATCH(M131,choices!A:A,0)+5),""),IF(M131=INDEX(choices!A:A,MATCH(M131,choices!A:A,0)+5), "
",""),IF(M131=INDEX(choices!A:A,MATCH(M131,choices!A:A,0)+6),INDEX(choices!C:C,MATCH(M131,choices!A:A,0)+6),""),IF(M131=INDEX(choices!A:A,MATCH(M131,choices!A:A,0)+6), "
",""),IF(M131=INDEX(choices!A:A,MATCH(M131,choices!A:A,0)+7),INDEX(choices!C:C,MATCH(M131,choices!A:A,0)+7),""),IF(M131=INDEX(choices!A:A,MATCH(M131,choices!A:A,0)+7), "
",""),IF(M131=INDEX(choices!A:A,MATCH(M131,choices!A:A,0)+8),INDEX(choices!C:C,MATCH(M131,choices!A:A,0)+8),""),IF(M131=INDEX(choices!A:A,MATCH(M131,choices!A:A,0)+8), "
",""),IF(M131=INDEX(choices!A:A,MATCH(M131,choices!A:A,0)+9),INDEX(choices!C:C,MATCH(M131,choices!A:A,0)+9),""),IF(M131=INDEX(choices!A:A,MATCH(M131,choices!A:A,0)+9), "
",""),IF(M131=INDEX(choices!A:A,MATCH(M131,choices!A:A,0)+10),INDEX(choices!C:C,MATCH(M131,choices!A:A,0)+10),""),IF(M131=INDEX(choices!A:A,MATCH(M131,choices!A:A,0)+10), "
",""),IF(M131=INDEX(choices!A:A,MATCH(M131,choices!A:A,0)+11),INDEX(choices!C:C,MATCH(M131,choices!A:A,0)+11),""),IF(M131=INDEX(choices!A:A,MATCH(M131,choices!A:A,0)+11), "
",""),IF(M131=INDEX(choices!A:A,MATCH(M131,choices!A:A,0)+12),INDEX(choices!C:C,MATCH(M131,choices!A:A,0)+12),""),IF(M131=INDEX(choices!A:A,MATCH(M131,choices!A:A,0)+12), "
",""),IF(M131=INDEX(choices!A:A,MATCH(M131,choices!A:A,0)+13),INDEX(choices!C:C,MATCH(M131,choices!A:A,0)+13),""),IF(M131=INDEX(choices!A:A,MATCH(M131,choices!A:A,0)+13), "
",""),IF(M131=INDEX(choices!A:A,MATCH(M131,choices!A:A,0)+14),INDEX(choices!C:C,MATCH(M131,choices!A:A,0)+14),""),IF(M131=INDEX(choices!A:A,MATCH(M131,choices!A:A,0)+14), "
",""),IF(M131=INDEX(choices!A:A,MATCH(M131,choices!A:A,0)+15),INDEX(choices!C:C,MATCH(M131,choices!A:A,0)+15),""),IF(M131=INDEX(choices!A:A,MATCH(M131,choices!A:A,0)+15), "
",""),IF(M131=INDEX(choices!A:A,MATCH(M131,choices!A:A,0)+16),INDEX(choices!C:C,MATCH(M131,choices!A:A,0)+16),""),IF(M131=INDEX(choices!A:A,MATCH(M131,choices!A:A,0)+16), "
",""),IF(M131=INDEX(choices!A:A,MATCH(M131,choices!A:A,0)+17),INDEX(choices!C:C,MATCH(M131,choices!A:A,0)+17),""),IF(M131=INDEX(choices!A:A,MATCH(M131,choices!A:A,0)+17), "
",""),IF(M131=INDEX(choices!A:A,MATCH(M131,choices!A:A,0)+18),INDEX(choices!C:C,MATCH(M131,choices!A:A,0)+18),""),IF(M131=INDEX(choices!A:A,MATCH(M131,choices!A:A,0)+18), "
",""),IF(M131=INDEX(choices!A:A,MATCH(M131,choices!A:A,0)+19),INDEX(choices!C:C,MATCH(M131,choices!A:A,0)+19),""),IF(M131=INDEX(choices!A:A,MATCH(M131,choices!A:A,0)+19), "
",""),IF(M131=INDEX(choices!A:A,MATCH(M131,choices!A:A,0)+20),INDEX(choices!C:C,MATCH(M131,choices!A:A,0)+20),""),IF(M131=INDEX(choices!A:A,MATCH(M131,choices!A:A,0)+20), "
","")," ")</f>
        <v xml:space="preserve">1. نعم
2. لا
 </v>
      </c>
      <c r="H131">
        <f t="shared" si="31"/>
        <v>9</v>
      </c>
      <c r="I131" s="274" t="str">
        <f t="shared" si="27"/>
        <v>14412_9</v>
      </c>
      <c r="L131" s="267" t="s">
        <v>170</v>
      </c>
      <c r="M131" s="275" t="s">
        <v>17</v>
      </c>
      <c r="N131" s="271" t="str">
        <f t="shared" si="28"/>
        <v>q14412_9</v>
      </c>
      <c r="O131" s="306" t="str">
        <f t="shared" si="29"/>
        <v>14412_9. الانفاق من المدخرات</v>
      </c>
      <c r="P131" s="257" t="str">
        <f t="shared" si="30"/>
        <v>14412_9. spent savings</v>
      </c>
      <c r="Q131" s="272"/>
      <c r="R131" s="272"/>
      <c r="S131"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31" s="47"/>
      <c r="U131" s="47"/>
      <c r="V131" s="47"/>
      <c r="W131" s="47"/>
      <c r="X131" s="47"/>
      <c r="Y131" s="71" t="b">
        <v>1</v>
      </c>
    </row>
    <row r="132" spans="1:31" ht="47.25">
      <c r="A132" s="271" t="str">
        <f t="shared" si="32"/>
        <v>14412_10</v>
      </c>
      <c r="B132" s="276" t="s">
        <v>902</v>
      </c>
      <c r="C132" s="276"/>
      <c r="D132" s="268" t="str">
        <f>CONCATENATE(INDEX(choices!D:D,MATCH(M132,choices!A:A,0)),"
",IF(M132=INDEX(choices!A:A,MATCH(M132,choices!A:A,0)+1),INDEX(choices!D:D,MATCH(M132,choices!A:A,0)+1),""),IF(M132=INDEX(choices!A:A,MATCH(M132,choices!A:A,0)+1), "
",""),IF(M132=INDEX(choices!A:A,MATCH(M132,choices!A:A,0)+2),INDEX(choices!D:D,MATCH(M132,choices!A:A,0)+2),""),IF(M132=INDEX(choices!A:A,MATCH(M132,choices!A:A,0)+2), "
",""),IF(M132=INDEX(choices!A:A,MATCH(M132,choices!A:A,0)+3),INDEX(choices!D:D,MATCH(M132,choices!A:A,0)+3),""),IF(M132=INDEX(choices!A:A,MATCH(M132,choices!A:A,0)+3), "
",""),IF(M132=INDEX(choices!A:A,MATCH(M132,choices!A:A,0)+4),INDEX(choices!D:D,MATCH(M132,choices!A:A,0)+4),""),IF(M132=INDEX(choices!A:A,MATCH(M132,choices!A:A,0)+4), "
",""),IF(M132=INDEX(choices!A:A,MATCH(M132,choices!A:A,0)+5),INDEX(choices!D:D,MATCH(M132,choices!A:A,0)+5),""),IF(M132=INDEX(choices!A:A,MATCH(M132,choices!A:A,0)+5), "
",""),IF(M132=INDEX(choices!A:A,MATCH(M132,choices!A:A,0)+6),INDEX(choices!D:D,MATCH(M132,choices!A:A,0)+6),""),IF(M132=INDEX(choices!A:A,MATCH(M132,choices!A:A,0)+6), "
",""),IF(M132=INDEX(choices!A:A,MATCH(M132,choices!A:A,0)+7),INDEX(choices!D:D,MATCH(M132,choices!A:A,0)+7),""),IF(M132=INDEX(choices!A:A,MATCH(M132,choices!A:A,0)+7), "
",""),IF(M132=INDEX(choices!A:A,MATCH(M132,choices!A:A,0)+8),INDEX(choices!D:D,MATCH(M132,choices!A:A,0)+8),""),IF(M132=INDEX(choices!A:A,MATCH(M132,choices!A:A,0)+8), "
",""),IF(M132=INDEX(choices!A:A,MATCH(M132,choices!A:A,0)+9),INDEX(choices!D:D,MATCH(M132,choices!A:A,0)+9),""),IF(M132=INDEX(choices!A:A,MATCH(M132,choices!A:A,0)+9), "
",""),IF(M132=INDEX(choices!A:A,MATCH(M132,choices!A:A,0)+10),INDEX(choices!D:D,MATCH(M132,choices!A:A,0)+10),""),IF(M132=INDEX(choices!A:A,MATCH(M132,choices!A:A,0)+10), "
",""),IF(M132=INDEX(choices!A:A,MATCH(M132,choices!A:A,0)+11),INDEX(choices!D:D,MATCH(M132,choices!A:A,0)+11),""),IF(M132=INDEX(choices!A:A,MATCH(M132,choices!A:A,0)+11), "
",""),IF(M132=INDEX(choices!A:A,MATCH(M132,choices!A:A,0)+12),INDEX(choices!D:D,MATCH(M132,choices!A:A,0)+12),""),IF(M132=INDEX(choices!A:A,MATCH(M132,choices!A:A,0)+12), "
",""),IF(M132=INDEX(choices!A:A,MATCH(M132,choices!A:A,0)+13),INDEX(choices!D:D,MATCH(M132,choices!A:A,0)+13),""),IF(M132=INDEX(choices!A:A,MATCH(M132,choices!A:A,0)+13), "
",""),IF(M132=INDEX(choices!A:A,MATCH(M132,choices!A:A,0)+14),INDEX(choices!D:D,MATCH(M132,choices!A:A,0)+14),""),IF(M132=INDEX(choices!A:A,MATCH(M132,choices!A:A,0)+14), "
",""),IF(M132=INDEX(choices!A:A,MATCH(M132,choices!A:A,0)+15),INDEX(choices!D:D,MATCH(M132,choices!A:A,0)+15),""),IF(M132=INDEX(choices!A:A,MATCH(M132,choices!A:A,0)+15), "
",""),IF(M132=INDEX(choices!A:A,MATCH(M132,choices!A:A,0)+16),INDEX(choices!D:D,MATCH(M132,choices!A:A,0)+16),""),IF(M132=INDEX(choices!A:A,MATCH(M132,choices!A:A,0)+16), "
",""),IF(M132=INDEX(choices!A:A,MATCH(M132,choices!A:A,0)+17),INDEX(choices!D:D,MATCH(M132,choices!A:A,0)+17),""),IF(M132=INDEX(choices!A:A,MATCH(M132,choices!A:A,0)+17), "
",""),IF(M132=INDEX(choices!A:A,MATCH(M132,choices!A:A,0)+18),INDEX(choices!D:D,MATCH(M132,choices!A:A,0)+18),""),IF(M132=INDEX(choices!A:A,MATCH(M132,choices!A:A,0)+18), "
",""),IF(M132=INDEX(choices!A:A,MATCH(M132,choices!A:A,0)+19),INDEX(choices!D:D,MATCH(M132,choices!A:A,0)+19),""),IF(M132=INDEX(choices!A:A,MATCH(M132,choices!A:A,0)+19), "
",""),IF(M132=INDEX(choices!A:A,MATCH(M132,choices!A:A,0)+20),INDEX(choices!D:D,MATCH(M132,choices!A:A,0)+20),""),IF(M132=INDEX(choices!A:A,MATCH(M132,choices!A:A,0)+20), "
",""))</f>
        <v xml:space="preserve">1. Yes
2. No
</v>
      </c>
      <c r="E132" s="366" t="s">
        <v>1270</v>
      </c>
      <c r="F132" s="276"/>
      <c r="G132" s="273" t="str">
        <f>CONCATENATE(INDEX(choices!C:C,MATCH(M132,choices!A:A,0)),"
",IF(M132=INDEX(choices!A:A,MATCH(M132,choices!A:A,0)+1),INDEX(choices!C:C,MATCH(M132,choices!A:A,0)+1),""),IF(M132=INDEX(choices!A:A,MATCH(M132,choices!A:A,0)+1), "
",""),IF(M132=INDEX(choices!A:A,MATCH(M132,choices!A:A,0)+2),INDEX(choices!C:C,MATCH(M132,choices!A:A,0)+2),""),IF(M132=INDEX(choices!A:A,MATCH(M132,choices!A:A,0)+2), "
",""),IF(M132=INDEX(choices!A:A,MATCH(M132,choices!A:A,0)+3),INDEX(choices!C:C,MATCH(M132,choices!A:A,0)+3),""),IF(M132=INDEX(choices!A:A,MATCH(M132,choices!A:A,0)+3), "
",""),IF(M132=INDEX(choices!A:A,MATCH(M132,choices!A:A,0)+4),INDEX(choices!C:C,MATCH(M132,choices!A:A,0)+4),""),IF(M132=INDEX(choices!A:A,MATCH(M132,choices!A:A,0)+4), "
",""),IF(M132=INDEX(choices!A:A,MATCH(M132,choices!A:A,0)+5),INDEX(choices!C:C,MATCH(M132,choices!A:A,0)+5),""),IF(M132=INDEX(choices!A:A,MATCH(M132,choices!A:A,0)+5), "
",""),IF(M132=INDEX(choices!A:A,MATCH(M132,choices!A:A,0)+6),INDEX(choices!C:C,MATCH(M132,choices!A:A,0)+6),""),IF(M132=INDEX(choices!A:A,MATCH(M132,choices!A:A,0)+6), "
",""),IF(M132=INDEX(choices!A:A,MATCH(M132,choices!A:A,0)+7),INDEX(choices!C:C,MATCH(M132,choices!A:A,0)+7),""),IF(M132=INDEX(choices!A:A,MATCH(M132,choices!A:A,0)+7), "
",""),IF(M132=INDEX(choices!A:A,MATCH(M132,choices!A:A,0)+8),INDEX(choices!C:C,MATCH(M132,choices!A:A,0)+8),""),IF(M132=INDEX(choices!A:A,MATCH(M132,choices!A:A,0)+8), "
",""),IF(M132=INDEX(choices!A:A,MATCH(M132,choices!A:A,0)+9),INDEX(choices!C:C,MATCH(M132,choices!A:A,0)+9),""),IF(M132=INDEX(choices!A:A,MATCH(M132,choices!A:A,0)+9), "
",""),IF(M132=INDEX(choices!A:A,MATCH(M132,choices!A:A,0)+10),INDEX(choices!C:C,MATCH(M132,choices!A:A,0)+10),""),IF(M132=INDEX(choices!A:A,MATCH(M132,choices!A:A,0)+10), "
",""),IF(M132=INDEX(choices!A:A,MATCH(M132,choices!A:A,0)+11),INDEX(choices!C:C,MATCH(M132,choices!A:A,0)+11),""),IF(M132=INDEX(choices!A:A,MATCH(M132,choices!A:A,0)+11), "
",""),IF(M132=INDEX(choices!A:A,MATCH(M132,choices!A:A,0)+12),INDEX(choices!C:C,MATCH(M132,choices!A:A,0)+12),""),IF(M132=INDEX(choices!A:A,MATCH(M132,choices!A:A,0)+12), "
",""),IF(M132=INDEX(choices!A:A,MATCH(M132,choices!A:A,0)+13),INDEX(choices!C:C,MATCH(M132,choices!A:A,0)+13),""),IF(M132=INDEX(choices!A:A,MATCH(M132,choices!A:A,0)+13), "
",""),IF(M132=INDEX(choices!A:A,MATCH(M132,choices!A:A,0)+14),INDEX(choices!C:C,MATCH(M132,choices!A:A,0)+14),""),IF(M132=INDEX(choices!A:A,MATCH(M132,choices!A:A,0)+14), "
",""),IF(M132=INDEX(choices!A:A,MATCH(M132,choices!A:A,0)+15),INDEX(choices!C:C,MATCH(M132,choices!A:A,0)+15),""),IF(M132=INDEX(choices!A:A,MATCH(M132,choices!A:A,0)+15), "
",""),IF(M132=INDEX(choices!A:A,MATCH(M132,choices!A:A,0)+16),INDEX(choices!C:C,MATCH(M132,choices!A:A,0)+16),""),IF(M132=INDEX(choices!A:A,MATCH(M132,choices!A:A,0)+16), "
",""),IF(M132=INDEX(choices!A:A,MATCH(M132,choices!A:A,0)+17),INDEX(choices!C:C,MATCH(M132,choices!A:A,0)+17),""),IF(M132=INDEX(choices!A:A,MATCH(M132,choices!A:A,0)+17), "
",""),IF(M132=INDEX(choices!A:A,MATCH(M132,choices!A:A,0)+18),INDEX(choices!C:C,MATCH(M132,choices!A:A,0)+18),""),IF(M132=INDEX(choices!A:A,MATCH(M132,choices!A:A,0)+18), "
",""),IF(M132=INDEX(choices!A:A,MATCH(M132,choices!A:A,0)+19),INDEX(choices!C:C,MATCH(M132,choices!A:A,0)+19),""),IF(M132=INDEX(choices!A:A,MATCH(M132,choices!A:A,0)+19), "
",""),IF(M132=INDEX(choices!A:A,MATCH(M132,choices!A:A,0)+20),INDEX(choices!C:C,MATCH(M132,choices!A:A,0)+20),""),IF(M132=INDEX(choices!A:A,MATCH(M132,choices!A:A,0)+20), "
","")," ")</f>
        <v xml:space="preserve">1. نعم
2. لا
 </v>
      </c>
      <c r="H132">
        <f t="shared" si="31"/>
        <v>10</v>
      </c>
      <c r="I132" s="274" t="str">
        <f t="shared" si="27"/>
        <v>14412_10</v>
      </c>
      <c r="L132" s="267" t="s">
        <v>170</v>
      </c>
      <c r="M132" s="275" t="s">
        <v>17</v>
      </c>
      <c r="N132" s="271" t="str">
        <f t="shared" si="28"/>
        <v>q14412_10</v>
      </c>
      <c r="O132" s="306" t="str">
        <f t="shared" si="29"/>
        <v>14412_10. بيع أو استهلاك الماشية</v>
      </c>
      <c r="P132" s="257" t="str">
        <f t="shared" si="30"/>
        <v>14412_10. sold or consumed livestock</v>
      </c>
      <c r="Q132" s="272"/>
      <c r="R132" s="272"/>
      <c r="S132"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32" s="47"/>
      <c r="U132" s="47"/>
      <c r="V132" s="47"/>
      <c r="W132" s="47"/>
      <c r="X132" s="47"/>
      <c r="Y132" s="71" t="b">
        <v>1</v>
      </c>
    </row>
    <row r="133" spans="1:31" ht="39">
      <c r="A133" s="271" t="str">
        <f t="shared" si="32"/>
        <v>14412_11</v>
      </c>
      <c r="B133" s="276" t="s">
        <v>903</v>
      </c>
      <c r="C133" s="276"/>
      <c r="D133" s="268" t="str">
        <f>CONCATENATE(INDEX(choices!D:D,MATCH(M133,choices!A:A,0)),"
",IF(M133=INDEX(choices!A:A,MATCH(M133,choices!A:A,0)+1),INDEX(choices!D:D,MATCH(M133,choices!A:A,0)+1),""),IF(M133=INDEX(choices!A:A,MATCH(M133,choices!A:A,0)+1), "
",""),IF(M133=INDEX(choices!A:A,MATCH(M133,choices!A:A,0)+2),INDEX(choices!D:D,MATCH(M133,choices!A:A,0)+2),""),IF(M133=INDEX(choices!A:A,MATCH(M133,choices!A:A,0)+2), "
",""),IF(M133=INDEX(choices!A:A,MATCH(M133,choices!A:A,0)+3),INDEX(choices!D:D,MATCH(M133,choices!A:A,0)+3),""),IF(M133=INDEX(choices!A:A,MATCH(M133,choices!A:A,0)+3), "
",""),IF(M133=INDEX(choices!A:A,MATCH(M133,choices!A:A,0)+4),INDEX(choices!D:D,MATCH(M133,choices!A:A,0)+4),""),IF(M133=INDEX(choices!A:A,MATCH(M133,choices!A:A,0)+4), "
",""),IF(M133=INDEX(choices!A:A,MATCH(M133,choices!A:A,0)+5),INDEX(choices!D:D,MATCH(M133,choices!A:A,0)+5),""),IF(M133=INDEX(choices!A:A,MATCH(M133,choices!A:A,0)+5), "
",""),IF(M133=INDEX(choices!A:A,MATCH(M133,choices!A:A,0)+6),INDEX(choices!D:D,MATCH(M133,choices!A:A,0)+6),""),IF(M133=INDEX(choices!A:A,MATCH(M133,choices!A:A,0)+6), "
",""),IF(M133=INDEX(choices!A:A,MATCH(M133,choices!A:A,0)+7),INDEX(choices!D:D,MATCH(M133,choices!A:A,0)+7),""),IF(M133=INDEX(choices!A:A,MATCH(M133,choices!A:A,0)+7), "
",""),IF(M133=INDEX(choices!A:A,MATCH(M133,choices!A:A,0)+8),INDEX(choices!D:D,MATCH(M133,choices!A:A,0)+8),""),IF(M133=INDEX(choices!A:A,MATCH(M133,choices!A:A,0)+8), "
",""),IF(M133=INDEX(choices!A:A,MATCH(M133,choices!A:A,0)+9),INDEX(choices!D:D,MATCH(M133,choices!A:A,0)+9),""),IF(M133=INDEX(choices!A:A,MATCH(M133,choices!A:A,0)+9), "
",""),IF(M133=INDEX(choices!A:A,MATCH(M133,choices!A:A,0)+10),INDEX(choices!D:D,MATCH(M133,choices!A:A,0)+10),""),IF(M133=INDEX(choices!A:A,MATCH(M133,choices!A:A,0)+10), "
",""),IF(M133=INDEX(choices!A:A,MATCH(M133,choices!A:A,0)+11),INDEX(choices!D:D,MATCH(M133,choices!A:A,0)+11),""),IF(M133=INDEX(choices!A:A,MATCH(M133,choices!A:A,0)+11), "
",""),IF(M133=INDEX(choices!A:A,MATCH(M133,choices!A:A,0)+12),INDEX(choices!D:D,MATCH(M133,choices!A:A,0)+12),""),IF(M133=INDEX(choices!A:A,MATCH(M133,choices!A:A,0)+12), "
",""),IF(M133=INDEX(choices!A:A,MATCH(M133,choices!A:A,0)+13),INDEX(choices!D:D,MATCH(M133,choices!A:A,0)+13),""),IF(M133=INDEX(choices!A:A,MATCH(M133,choices!A:A,0)+13), "
",""),IF(M133=INDEX(choices!A:A,MATCH(M133,choices!A:A,0)+14),INDEX(choices!D:D,MATCH(M133,choices!A:A,0)+14),""),IF(M133=INDEX(choices!A:A,MATCH(M133,choices!A:A,0)+14), "
",""),IF(M133=INDEX(choices!A:A,MATCH(M133,choices!A:A,0)+15),INDEX(choices!D:D,MATCH(M133,choices!A:A,0)+15),""),IF(M133=INDEX(choices!A:A,MATCH(M133,choices!A:A,0)+15), "
",""),IF(M133=INDEX(choices!A:A,MATCH(M133,choices!A:A,0)+16),INDEX(choices!D:D,MATCH(M133,choices!A:A,0)+16),""),IF(M133=INDEX(choices!A:A,MATCH(M133,choices!A:A,0)+16), "
",""),IF(M133=INDEX(choices!A:A,MATCH(M133,choices!A:A,0)+17),INDEX(choices!D:D,MATCH(M133,choices!A:A,0)+17),""),IF(M133=INDEX(choices!A:A,MATCH(M133,choices!A:A,0)+17), "
",""),IF(M133=INDEX(choices!A:A,MATCH(M133,choices!A:A,0)+18),INDEX(choices!D:D,MATCH(M133,choices!A:A,0)+18),""),IF(M133=INDEX(choices!A:A,MATCH(M133,choices!A:A,0)+18), "
",""),IF(M133=INDEX(choices!A:A,MATCH(M133,choices!A:A,0)+19),INDEX(choices!D:D,MATCH(M133,choices!A:A,0)+19),""),IF(M133=INDEX(choices!A:A,MATCH(M133,choices!A:A,0)+19), "
",""),IF(M133=INDEX(choices!A:A,MATCH(M133,choices!A:A,0)+20),INDEX(choices!D:D,MATCH(M133,choices!A:A,0)+20),""),IF(M133=INDEX(choices!A:A,MATCH(M133,choices!A:A,0)+20), "
",""))</f>
        <v xml:space="preserve">1. Yes
2. No
</v>
      </c>
      <c r="E133" s="366" t="s">
        <v>1271</v>
      </c>
      <c r="F133" s="276"/>
      <c r="G133" s="273" t="str">
        <f>CONCATENATE(INDEX(choices!C:C,MATCH(M133,choices!A:A,0)),"
",IF(M133=INDEX(choices!A:A,MATCH(M133,choices!A:A,0)+1),INDEX(choices!C:C,MATCH(M133,choices!A:A,0)+1),""),IF(M133=INDEX(choices!A:A,MATCH(M133,choices!A:A,0)+1), "
",""),IF(M133=INDEX(choices!A:A,MATCH(M133,choices!A:A,0)+2),INDEX(choices!C:C,MATCH(M133,choices!A:A,0)+2),""),IF(M133=INDEX(choices!A:A,MATCH(M133,choices!A:A,0)+2), "
",""),IF(M133=INDEX(choices!A:A,MATCH(M133,choices!A:A,0)+3),INDEX(choices!C:C,MATCH(M133,choices!A:A,0)+3),""),IF(M133=INDEX(choices!A:A,MATCH(M133,choices!A:A,0)+3), "
",""),IF(M133=INDEX(choices!A:A,MATCH(M133,choices!A:A,0)+4),INDEX(choices!C:C,MATCH(M133,choices!A:A,0)+4),""),IF(M133=INDEX(choices!A:A,MATCH(M133,choices!A:A,0)+4), "
",""),IF(M133=INDEX(choices!A:A,MATCH(M133,choices!A:A,0)+5),INDEX(choices!C:C,MATCH(M133,choices!A:A,0)+5),""),IF(M133=INDEX(choices!A:A,MATCH(M133,choices!A:A,0)+5), "
",""),IF(M133=INDEX(choices!A:A,MATCH(M133,choices!A:A,0)+6),INDEX(choices!C:C,MATCH(M133,choices!A:A,0)+6),""),IF(M133=INDEX(choices!A:A,MATCH(M133,choices!A:A,0)+6), "
",""),IF(M133=INDEX(choices!A:A,MATCH(M133,choices!A:A,0)+7),INDEX(choices!C:C,MATCH(M133,choices!A:A,0)+7),""),IF(M133=INDEX(choices!A:A,MATCH(M133,choices!A:A,0)+7), "
",""),IF(M133=INDEX(choices!A:A,MATCH(M133,choices!A:A,0)+8),INDEX(choices!C:C,MATCH(M133,choices!A:A,0)+8),""),IF(M133=INDEX(choices!A:A,MATCH(M133,choices!A:A,0)+8), "
",""),IF(M133=INDEX(choices!A:A,MATCH(M133,choices!A:A,0)+9),INDEX(choices!C:C,MATCH(M133,choices!A:A,0)+9),""),IF(M133=INDEX(choices!A:A,MATCH(M133,choices!A:A,0)+9), "
",""),IF(M133=INDEX(choices!A:A,MATCH(M133,choices!A:A,0)+10),INDEX(choices!C:C,MATCH(M133,choices!A:A,0)+10),""),IF(M133=INDEX(choices!A:A,MATCH(M133,choices!A:A,0)+10), "
",""),IF(M133=INDEX(choices!A:A,MATCH(M133,choices!A:A,0)+11),INDEX(choices!C:C,MATCH(M133,choices!A:A,0)+11),""),IF(M133=INDEX(choices!A:A,MATCH(M133,choices!A:A,0)+11), "
",""),IF(M133=INDEX(choices!A:A,MATCH(M133,choices!A:A,0)+12),INDEX(choices!C:C,MATCH(M133,choices!A:A,0)+12),""),IF(M133=INDEX(choices!A:A,MATCH(M133,choices!A:A,0)+12), "
",""),IF(M133=INDEX(choices!A:A,MATCH(M133,choices!A:A,0)+13),INDEX(choices!C:C,MATCH(M133,choices!A:A,0)+13),""),IF(M133=INDEX(choices!A:A,MATCH(M133,choices!A:A,0)+13), "
",""),IF(M133=INDEX(choices!A:A,MATCH(M133,choices!A:A,0)+14),INDEX(choices!C:C,MATCH(M133,choices!A:A,0)+14),""),IF(M133=INDEX(choices!A:A,MATCH(M133,choices!A:A,0)+14), "
",""),IF(M133=INDEX(choices!A:A,MATCH(M133,choices!A:A,0)+15),INDEX(choices!C:C,MATCH(M133,choices!A:A,0)+15),""),IF(M133=INDEX(choices!A:A,MATCH(M133,choices!A:A,0)+15), "
",""),IF(M133=INDEX(choices!A:A,MATCH(M133,choices!A:A,0)+16),INDEX(choices!C:C,MATCH(M133,choices!A:A,0)+16),""),IF(M133=INDEX(choices!A:A,MATCH(M133,choices!A:A,0)+16), "
",""),IF(M133=INDEX(choices!A:A,MATCH(M133,choices!A:A,0)+17),INDEX(choices!C:C,MATCH(M133,choices!A:A,0)+17),""),IF(M133=INDEX(choices!A:A,MATCH(M133,choices!A:A,0)+17), "
",""),IF(M133=INDEX(choices!A:A,MATCH(M133,choices!A:A,0)+18),INDEX(choices!C:C,MATCH(M133,choices!A:A,0)+18),""),IF(M133=INDEX(choices!A:A,MATCH(M133,choices!A:A,0)+18), "
",""),IF(M133=INDEX(choices!A:A,MATCH(M133,choices!A:A,0)+19),INDEX(choices!C:C,MATCH(M133,choices!A:A,0)+19),""),IF(M133=INDEX(choices!A:A,MATCH(M133,choices!A:A,0)+19), "
",""),IF(M133=INDEX(choices!A:A,MATCH(M133,choices!A:A,0)+20),INDEX(choices!C:C,MATCH(M133,choices!A:A,0)+20),""),IF(M133=INDEX(choices!A:A,MATCH(M133,choices!A:A,0)+20), "
","")," ")</f>
        <v xml:space="preserve">1. نعم
2. لا
 </v>
      </c>
      <c r="H133">
        <f t="shared" si="31"/>
        <v>11</v>
      </c>
      <c r="I133" s="274" t="str">
        <f t="shared" si="27"/>
        <v>14412_11</v>
      </c>
      <c r="L133" s="267" t="s">
        <v>170</v>
      </c>
      <c r="M133" s="275" t="s">
        <v>17</v>
      </c>
      <c r="N133" s="271" t="str">
        <f t="shared" si="28"/>
        <v>q14412_11</v>
      </c>
      <c r="O133" s="306" t="str">
        <f t="shared" si="29"/>
        <v>14412_11. بيع المحاصيل قبل الحصاد</v>
      </c>
      <c r="P133" s="257" t="str">
        <f t="shared" si="30"/>
        <v>14412_11. sold crop before harvest</v>
      </c>
      <c r="Q133" s="272"/>
      <c r="R133" s="272"/>
      <c r="S133"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33" s="47"/>
      <c r="U133" s="47"/>
      <c r="V133" s="47"/>
      <c r="W133" s="47"/>
      <c r="X133" s="47"/>
      <c r="Y133" s="71" t="b">
        <v>1</v>
      </c>
    </row>
    <row r="134" spans="1:31" ht="39">
      <c r="A134" s="271" t="str">
        <f t="shared" si="32"/>
        <v>14412_12</v>
      </c>
      <c r="B134" s="276" t="s">
        <v>904</v>
      </c>
      <c r="C134" s="276"/>
      <c r="D134" s="268" t="str">
        <f>CONCATENATE(INDEX(choices!D:D,MATCH(M134,choices!A:A,0)),"
",IF(M134=INDEX(choices!A:A,MATCH(M134,choices!A:A,0)+1),INDEX(choices!D:D,MATCH(M134,choices!A:A,0)+1),""),IF(M134=INDEX(choices!A:A,MATCH(M134,choices!A:A,0)+1), "
",""),IF(M134=INDEX(choices!A:A,MATCH(M134,choices!A:A,0)+2),INDEX(choices!D:D,MATCH(M134,choices!A:A,0)+2),""),IF(M134=INDEX(choices!A:A,MATCH(M134,choices!A:A,0)+2), "
",""),IF(M134=INDEX(choices!A:A,MATCH(M134,choices!A:A,0)+3),INDEX(choices!D:D,MATCH(M134,choices!A:A,0)+3),""),IF(M134=INDEX(choices!A:A,MATCH(M134,choices!A:A,0)+3), "
",""),IF(M134=INDEX(choices!A:A,MATCH(M134,choices!A:A,0)+4),INDEX(choices!D:D,MATCH(M134,choices!A:A,0)+4),""),IF(M134=INDEX(choices!A:A,MATCH(M134,choices!A:A,0)+4), "
",""),IF(M134=INDEX(choices!A:A,MATCH(M134,choices!A:A,0)+5),INDEX(choices!D:D,MATCH(M134,choices!A:A,0)+5),""),IF(M134=INDEX(choices!A:A,MATCH(M134,choices!A:A,0)+5), "
",""),IF(M134=INDEX(choices!A:A,MATCH(M134,choices!A:A,0)+6),INDEX(choices!D:D,MATCH(M134,choices!A:A,0)+6),""),IF(M134=INDEX(choices!A:A,MATCH(M134,choices!A:A,0)+6), "
",""),IF(M134=INDEX(choices!A:A,MATCH(M134,choices!A:A,0)+7),INDEX(choices!D:D,MATCH(M134,choices!A:A,0)+7),""),IF(M134=INDEX(choices!A:A,MATCH(M134,choices!A:A,0)+7), "
",""),IF(M134=INDEX(choices!A:A,MATCH(M134,choices!A:A,0)+8),INDEX(choices!D:D,MATCH(M134,choices!A:A,0)+8),""),IF(M134=INDEX(choices!A:A,MATCH(M134,choices!A:A,0)+8), "
",""),IF(M134=INDEX(choices!A:A,MATCH(M134,choices!A:A,0)+9),INDEX(choices!D:D,MATCH(M134,choices!A:A,0)+9),""),IF(M134=INDEX(choices!A:A,MATCH(M134,choices!A:A,0)+9), "
",""),IF(M134=INDEX(choices!A:A,MATCH(M134,choices!A:A,0)+10),INDEX(choices!D:D,MATCH(M134,choices!A:A,0)+10),""),IF(M134=INDEX(choices!A:A,MATCH(M134,choices!A:A,0)+10), "
",""),IF(M134=INDEX(choices!A:A,MATCH(M134,choices!A:A,0)+11),INDEX(choices!D:D,MATCH(M134,choices!A:A,0)+11),""),IF(M134=INDEX(choices!A:A,MATCH(M134,choices!A:A,0)+11), "
",""),IF(M134=INDEX(choices!A:A,MATCH(M134,choices!A:A,0)+12),INDEX(choices!D:D,MATCH(M134,choices!A:A,0)+12),""),IF(M134=INDEX(choices!A:A,MATCH(M134,choices!A:A,0)+12), "
",""),IF(M134=INDEX(choices!A:A,MATCH(M134,choices!A:A,0)+13),INDEX(choices!D:D,MATCH(M134,choices!A:A,0)+13),""),IF(M134=INDEX(choices!A:A,MATCH(M134,choices!A:A,0)+13), "
",""),IF(M134=INDEX(choices!A:A,MATCH(M134,choices!A:A,0)+14),INDEX(choices!D:D,MATCH(M134,choices!A:A,0)+14),""),IF(M134=INDEX(choices!A:A,MATCH(M134,choices!A:A,0)+14), "
",""),IF(M134=INDEX(choices!A:A,MATCH(M134,choices!A:A,0)+15),INDEX(choices!D:D,MATCH(M134,choices!A:A,0)+15),""),IF(M134=INDEX(choices!A:A,MATCH(M134,choices!A:A,0)+15), "
",""),IF(M134=INDEX(choices!A:A,MATCH(M134,choices!A:A,0)+16),INDEX(choices!D:D,MATCH(M134,choices!A:A,0)+16),""),IF(M134=INDEX(choices!A:A,MATCH(M134,choices!A:A,0)+16), "
",""),IF(M134=INDEX(choices!A:A,MATCH(M134,choices!A:A,0)+17),INDEX(choices!D:D,MATCH(M134,choices!A:A,0)+17),""),IF(M134=INDEX(choices!A:A,MATCH(M134,choices!A:A,0)+17), "
",""),IF(M134=INDEX(choices!A:A,MATCH(M134,choices!A:A,0)+18),INDEX(choices!D:D,MATCH(M134,choices!A:A,0)+18),""),IF(M134=INDEX(choices!A:A,MATCH(M134,choices!A:A,0)+18), "
",""),IF(M134=INDEX(choices!A:A,MATCH(M134,choices!A:A,0)+19),INDEX(choices!D:D,MATCH(M134,choices!A:A,0)+19),""),IF(M134=INDEX(choices!A:A,MATCH(M134,choices!A:A,0)+19), "
",""),IF(M134=INDEX(choices!A:A,MATCH(M134,choices!A:A,0)+20),INDEX(choices!D:D,MATCH(M134,choices!A:A,0)+20),""),IF(M134=INDEX(choices!A:A,MATCH(M134,choices!A:A,0)+20), "
",""))</f>
        <v xml:space="preserve">1. Yes
2. No
</v>
      </c>
      <c r="E134" s="366" t="s">
        <v>1272</v>
      </c>
      <c r="F134" s="276"/>
      <c r="G134" s="273" t="str">
        <f>CONCATENATE(INDEX(choices!C:C,MATCH(M134,choices!A:A,0)),"
",IF(M134=INDEX(choices!A:A,MATCH(M134,choices!A:A,0)+1),INDEX(choices!C:C,MATCH(M134,choices!A:A,0)+1),""),IF(M134=INDEX(choices!A:A,MATCH(M134,choices!A:A,0)+1), "
",""),IF(M134=INDEX(choices!A:A,MATCH(M134,choices!A:A,0)+2),INDEX(choices!C:C,MATCH(M134,choices!A:A,0)+2),""),IF(M134=INDEX(choices!A:A,MATCH(M134,choices!A:A,0)+2), "
",""),IF(M134=INDEX(choices!A:A,MATCH(M134,choices!A:A,0)+3),INDEX(choices!C:C,MATCH(M134,choices!A:A,0)+3),""),IF(M134=INDEX(choices!A:A,MATCH(M134,choices!A:A,0)+3), "
",""),IF(M134=INDEX(choices!A:A,MATCH(M134,choices!A:A,0)+4),INDEX(choices!C:C,MATCH(M134,choices!A:A,0)+4),""),IF(M134=INDEX(choices!A:A,MATCH(M134,choices!A:A,0)+4), "
",""),IF(M134=INDEX(choices!A:A,MATCH(M134,choices!A:A,0)+5),INDEX(choices!C:C,MATCH(M134,choices!A:A,0)+5),""),IF(M134=INDEX(choices!A:A,MATCH(M134,choices!A:A,0)+5), "
",""),IF(M134=INDEX(choices!A:A,MATCH(M134,choices!A:A,0)+6),INDEX(choices!C:C,MATCH(M134,choices!A:A,0)+6),""),IF(M134=INDEX(choices!A:A,MATCH(M134,choices!A:A,0)+6), "
",""),IF(M134=INDEX(choices!A:A,MATCH(M134,choices!A:A,0)+7),INDEX(choices!C:C,MATCH(M134,choices!A:A,0)+7),""),IF(M134=INDEX(choices!A:A,MATCH(M134,choices!A:A,0)+7), "
",""),IF(M134=INDEX(choices!A:A,MATCH(M134,choices!A:A,0)+8),INDEX(choices!C:C,MATCH(M134,choices!A:A,0)+8),""),IF(M134=INDEX(choices!A:A,MATCH(M134,choices!A:A,0)+8), "
",""),IF(M134=INDEX(choices!A:A,MATCH(M134,choices!A:A,0)+9),INDEX(choices!C:C,MATCH(M134,choices!A:A,0)+9),""),IF(M134=INDEX(choices!A:A,MATCH(M134,choices!A:A,0)+9), "
",""),IF(M134=INDEX(choices!A:A,MATCH(M134,choices!A:A,0)+10),INDEX(choices!C:C,MATCH(M134,choices!A:A,0)+10),""),IF(M134=INDEX(choices!A:A,MATCH(M134,choices!A:A,0)+10), "
",""),IF(M134=INDEX(choices!A:A,MATCH(M134,choices!A:A,0)+11),INDEX(choices!C:C,MATCH(M134,choices!A:A,0)+11),""),IF(M134=INDEX(choices!A:A,MATCH(M134,choices!A:A,0)+11), "
",""),IF(M134=INDEX(choices!A:A,MATCH(M134,choices!A:A,0)+12),INDEX(choices!C:C,MATCH(M134,choices!A:A,0)+12),""),IF(M134=INDEX(choices!A:A,MATCH(M134,choices!A:A,0)+12), "
",""),IF(M134=INDEX(choices!A:A,MATCH(M134,choices!A:A,0)+13),INDEX(choices!C:C,MATCH(M134,choices!A:A,0)+13),""),IF(M134=INDEX(choices!A:A,MATCH(M134,choices!A:A,0)+13), "
",""),IF(M134=INDEX(choices!A:A,MATCH(M134,choices!A:A,0)+14),INDEX(choices!C:C,MATCH(M134,choices!A:A,0)+14),""),IF(M134=INDEX(choices!A:A,MATCH(M134,choices!A:A,0)+14), "
",""),IF(M134=INDEX(choices!A:A,MATCH(M134,choices!A:A,0)+15),INDEX(choices!C:C,MATCH(M134,choices!A:A,0)+15),""),IF(M134=INDEX(choices!A:A,MATCH(M134,choices!A:A,0)+15), "
",""),IF(M134=INDEX(choices!A:A,MATCH(M134,choices!A:A,0)+16),INDEX(choices!C:C,MATCH(M134,choices!A:A,0)+16),""),IF(M134=INDEX(choices!A:A,MATCH(M134,choices!A:A,0)+16), "
",""),IF(M134=INDEX(choices!A:A,MATCH(M134,choices!A:A,0)+17),INDEX(choices!C:C,MATCH(M134,choices!A:A,0)+17),""),IF(M134=INDEX(choices!A:A,MATCH(M134,choices!A:A,0)+17), "
",""),IF(M134=INDEX(choices!A:A,MATCH(M134,choices!A:A,0)+18),INDEX(choices!C:C,MATCH(M134,choices!A:A,0)+18),""),IF(M134=INDEX(choices!A:A,MATCH(M134,choices!A:A,0)+18), "
",""),IF(M134=INDEX(choices!A:A,MATCH(M134,choices!A:A,0)+19),INDEX(choices!C:C,MATCH(M134,choices!A:A,0)+19),""),IF(M134=INDEX(choices!A:A,MATCH(M134,choices!A:A,0)+19), "
",""),IF(M134=INDEX(choices!A:A,MATCH(M134,choices!A:A,0)+20),INDEX(choices!C:C,MATCH(M134,choices!A:A,0)+20),""),IF(M134=INDEX(choices!A:A,MATCH(M134,choices!A:A,0)+20), "
","")," ")</f>
        <v xml:space="preserve">1. نعم
2. لا
 </v>
      </c>
      <c r="H134">
        <f t="shared" si="31"/>
        <v>12</v>
      </c>
      <c r="I134" s="274" t="str">
        <f t="shared" si="27"/>
        <v>14412_12</v>
      </c>
      <c r="L134" s="267" t="s">
        <v>170</v>
      </c>
      <c r="M134" s="275" t="s">
        <v>17</v>
      </c>
      <c r="N134" s="271" t="str">
        <f t="shared" si="28"/>
        <v>q14412_12</v>
      </c>
      <c r="O134" s="306" t="str">
        <f t="shared" si="29"/>
        <v>14412_12. تأجير أرض</v>
      </c>
      <c r="P134" s="257" t="str">
        <f t="shared" si="30"/>
        <v>14412_12. rented out land</v>
      </c>
      <c r="Q134" s="272"/>
      <c r="R134" s="272"/>
      <c r="S134"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34" s="47"/>
      <c r="U134" s="47"/>
      <c r="V134" s="47"/>
      <c r="W134" s="47"/>
      <c r="X134" s="47"/>
      <c r="Y134" s="71" t="b">
        <v>1</v>
      </c>
    </row>
    <row r="135" spans="1:31" ht="39">
      <c r="A135" s="271" t="str">
        <f t="shared" si="32"/>
        <v>14412_13</v>
      </c>
      <c r="B135" s="276" t="s">
        <v>905</v>
      </c>
      <c r="C135" s="276"/>
      <c r="D135" s="268" t="str">
        <f>CONCATENATE(INDEX(choices!D:D,MATCH(M135,choices!A:A,0)),"
",IF(M135=INDEX(choices!A:A,MATCH(M135,choices!A:A,0)+1),INDEX(choices!D:D,MATCH(M135,choices!A:A,0)+1),""),IF(M135=INDEX(choices!A:A,MATCH(M135,choices!A:A,0)+1), "
",""),IF(M135=INDEX(choices!A:A,MATCH(M135,choices!A:A,0)+2),INDEX(choices!D:D,MATCH(M135,choices!A:A,0)+2),""),IF(M135=INDEX(choices!A:A,MATCH(M135,choices!A:A,0)+2), "
",""),IF(M135=INDEX(choices!A:A,MATCH(M135,choices!A:A,0)+3),INDEX(choices!D:D,MATCH(M135,choices!A:A,0)+3),""),IF(M135=INDEX(choices!A:A,MATCH(M135,choices!A:A,0)+3), "
",""),IF(M135=INDEX(choices!A:A,MATCH(M135,choices!A:A,0)+4),INDEX(choices!D:D,MATCH(M135,choices!A:A,0)+4),""),IF(M135=INDEX(choices!A:A,MATCH(M135,choices!A:A,0)+4), "
",""),IF(M135=INDEX(choices!A:A,MATCH(M135,choices!A:A,0)+5),INDEX(choices!D:D,MATCH(M135,choices!A:A,0)+5),""),IF(M135=INDEX(choices!A:A,MATCH(M135,choices!A:A,0)+5), "
",""),IF(M135=INDEX(choices!A:A,MATCH(M135,choices!A:A,0)+6),INDEX(choices!D:D,MATCH(M135,choices!A:A,0)+6),""),IF(M135=INDEX(choices!A:A,MATCH(M135,choices!A:A,0)+6), "
",""),IF(M135=INDEX(choices!A:A,MATCH(M135,choices!A:A,0)+7),INDEX(choices!D:D,MATCH(M135,choices!A:A,0)+7),""),IF(M135=INDEX(choices!A:A,MATCH(M135,choices!A:A,0)+7), "
",""),IF(M135=INDEX(choices!A:A,MATCH(M135,choices!A:A,0)+8),INDEX(choices!D:D,MATCH(M135,choices!A:A,0)+8),""),IF(M135=INDEX(choices!A:A,MATCH(M135,choices!A:A,0)+8), "
",""),IF(M135=INDEX(choices!A:A,MATCH(M135,choices!A:A,0)+9),INDEX(choices!D:D,MATCH(M135,choices!A:A,0)+9),""),IF(M135=INDEX(choices!A:A,MATCH(M135,choices!A:A,0)+9), "
",""),IF(M135=INDEX(choices!A:A,MATCH(M135,choices!A:A,0)+10),INDEX(choices!D:D,MATCH(M135,choices!A:A,0)+10),""),IF(M135=INDEX(choices!A:A,MATCH(M135,choices!A:A,0)+10), "
",""),IF(M135=INDEX(choices!A:A,MATCH(M135,choices!A:A,0)+11),INDEX(choices!D:D,MATCH(M135,choices!A:A,0)+11),""),IF(M135=INDEX(choices!A:A,MATCH(M135,choices!A:A,0)+11), "
",""),IF(M135=INDEX(choices!A:A,MATCH(M135,choices!A:A,0)+12),INDEX(choices!D:D,MATCH(M135,choices!A:A,0)+12),""),IF(M135=INDEX(choices!A:A,MATCH(M135,choices!A:A,0)+12), "
",""),IF(M135=INDEX(choices!A:A,MATCH(M135,choices!A:A,0)+13),INDEX(choices!D:D,MATCH(M135,choices!A:A,0)+13),""),IF(M135=INDEX(choices!A:A,MATCH(M135,choices!A:A,0)+13), "
",""),IF(M135=INDEX(choices!A:A,MATCH(M135,choices!A:A,0)+14),INDEX(choices!D:D,MATCH(M135,choices!A:A,0)+14),""),IF(M135=INDEX(choices!A:A,MATCH(M135,choices!A:A,0)+14), "
",""),IF(M135=INDEX(choices!A:A,MATCH(M135,choices!A:A,0)+15),INDEX(choices!D:D,MATCH(M135,choices!A:A,0)+15),""),IF(M135=INDEX(choices!A:A,MATCH(M135,choices!A:A,0)+15), "
",""),IF(M135=INDEX(choices!A:A,MATCH(M135,choices!A:A,0)+16),INDEX(choices!D:D,MATCH(M135,choices!A:A,0)+16),""),IF(M135=INDEX(choices!A:A,MATCH(M135,choices!A:A,0)+16), "
",""),IF(M135=INDEX(choices!A:A,MATCH(M135,choices!A:A,0)+17),INDEX(choices!D:D,MATCH(M135,choices!A:A,0)+17),""),IF(M135=INDEX(choices!A:A,MATCH(M135,choices!A:A,0)+17), "
",""),IF(M135=INDEX(choices!A:A,MATCH(M135,choices!A:A,0)+18),INDEX(choices!D:D,MATCH(M135,choices!A:A,0)+18),""),IF(M135=INDEX(choices!A:A,MATCH(M135,choices!A:A,0)+18), "
",""),IF(M135=INDEX(choices!A:A,MATCH(M135,choices!A:A,0)+19),INDEX(choices!D:D,MATCH(M135,choices!A:A,0)+19),""),IF(M135=INDEX(choices!A:A,MATCH(M135,choices!A:A,0)+19), "
",""),IF(M135=INDEX(choices!A:A,MATCH(M135,choices!A:A,0)+20),INDEX(choices!D:D,MATCH(M135,choices!A:A,0)+20),""),IF(M135=INDEX(choices!A:A,MATCH(M135,choices!A:A,0)+20), "
",""))</f>
        <v xml:space="preserve">1. Yes
2. No
</v>
      </c>
      <c r="E135" s="366" t="s">
        <v>1273</v>
      </c>
      <c r="F135" s="276"/>
      <c r="G135" s="273" t="str">
        <f>CONCATENATE(INDEX(choices!C:C,MATCH(M135,choices!A:A,0)),"
",IF(M135=INDEX(choices!A:A,MATCH(M135,choices!A:A,0)+1),INDEX(choices!C:C,MATCH(M135,choices!A:A,0)+1),""),IF(M135=INDEX(choices!A:A,MATCH(M135,choices!A:A,0)+1), "
",""),IF(M135=INDEX(choices!A:A,MATCH(M135,choices!A:A,0)+2),INDEX(choices!C:C,MATCH(M135,choices!A:A,0)+2),""),IF(M135=INDEX(choices!A:A,MATCH(M135,choices!A:A,0)+2), "
",""),IF(M135=INDEX(choices!A:A,MATCH(M135,choices!A:A,0)+3),INDEX(choices!C:C,MATCH(M135,choices!A:A,0)+3),""),IF(M135=INDEX(choices!A:A,MATCH(M135,choices!A:A,0)+3), "
",""),IF(M135=INDEX(choices!A:A,MATCH(M135,choices!A:A,0)+4),INDEX(choices!C:C,MATCH(M135,choices!A:A,0)+4),""),IF(M135=INDEX(choices!A:A,MATCH(M135,choices!A:A,0)+4), "
",""),IF(M135=INDEX(choices!A:A,MATCH(M135,choices!A:A,0)+5),INDEX(choices!C:C,MATCH(M135,choices!A:A,0)+5),""),IF(M135=INDEX(choices!A:A,MATCH(M135,choices!A:A,0)+5), "
",""),IF(M135=INDEX(choices!A:A,MATCH(M135,choices!A:A,0)+6),INDEX(choices!C:C,MATCH(M135,choices!A:A,0)+6),""),IF(M135=INDEX(choices!A:A,MATCH(M135,choices!A:A,0)+6), "
",""),IF(M135=INDEX(choices!A:A,MATCH(M135,choices!A:A,0)+7),INDEX(choices!C:C,MATCH(M135,choices!A:A,0)+7),""),IF(M135=INDEX(choices!A:A,MATCH(M135,choices!A:A,0)+7), "
",""),IF(M135=INDEX(choices!A:A,MATCH(M135,choices!A:A,0)+8),INDEX(choices!C:C,MATCH(M135,choices!A:A,0)+8),""),IF(M135=INDEX(choices!A:A,MATCH(M135,choices!A:A,0)+8), "
",""),IF(M135=INDEX(choices!A:A,MATCH(M135,choices!A:A,0)+9),INDEX(choices!C:C,MATCH(M135,choices!A:A,0)+9),""),IF(M135=INDEX(choices!A:A,MATCH(M135,choices!A:A,0)+9), "
",""),IF(M135=INDEX(choices!A:A,MATCH(M135,choices!A:A,0)+10),INDEX(choices!C:C,MATCH(M135,choices!A:A,0)+10),""),IF(M135=INDEX(choices!A:A,MATCH(M135,choices!A:A,0)+10), "
",""),IF(M135=INDEX(choices!A:A,MATCH(M135,choices!A:A,0)+11),INDEX(choices!C:C,MATCH(M135,choices!A:A,0)+11),""),IF(M135=INDEX(choices!A:A,MATCH(M135,choices!A:A,0)+11), "
",""),IF(M135=INDEX(choices!A:A,MATCH(M135,choices!A:A,0)+12),INDEX(choices!C:C,MATCH(M135,choices!A:A,0)+12),""),IF(M135=INDEX(choices!A:A,MATCH(M135,choices!A:A,0)+12), "
",""),IF(M135=INDEX(choices!A:A,MATCH(M135,choices!A:A,0)+13),INDEX(choices!C:C,MATCH(M135,choices!A:A,0)+13),""),IF(M135=INDEX(choices!A:A,MATCH(M135,choices!A:A,0)+13), "
",""),IF(M135=INDEX(choices!A:A,MATCH(M135,choices!A:A,0)+14),INDEX(choices!C:C,MATCH(M135,choices!A:A,0)+14),""),IF(M135=INDEX(choices!A:A,MATCH(M135,choices!A:A,0)+14), "
",""),IF(M135=INDEX(choices!A:A,MATCH(M135,choices!A:A,0)+15),INDEX(choices!C:C,MATCH(M135,choices!A:A,0)+15),""),IF(M135=INDEX(choices!A:A,MATCH(M135,choices!A:A,0)+15), "
",""),IF(M135=INDEX(choices!A:A,MATCH(M135,choices!A:A,0)+16),INDEX(choices!C:C,MATCH(M135,choices!A:A,0)+16),""),IF(M135=INDEX(choices!A:A,MATCH(M135,choices!A:A,0)+16), "
",""),IF(M135=INDEX(choices!A:A,MATCH(M135,choices!A:A,0)+17),INDEX(choices!C:C,MATCH(M135,choices!A:A,0)+17),""),IF(M135=INDEX(choices!A:A,MATCH(M135,choices!A:A,0)+17), "
",""),IF(M135=INDEX(choices!A:A,MATCH(M135,choices!A:A,0)+18),INDEX(choices!C:C,MATCH(M135,choices!A:A,0)+18),""),IF(M135=INDEX(choices!A:A,MATCH(M135,choices!A:A,0)+18), "
",""),IF(M135=INDEX(choices!A:A,MATCH(M135,choices!A:A,0)+19),INDEX(choices!C:C,MATCH(M135,choices!A:A,0)+19),""),IF(M135=INDEX(choices!A:A,MATCH(M135,choices!A:A,0)+19), "
",""),IF(M135=INDEX(choices!A:A,MATCH(M135,choices!A:A,0)+20),INDEX(choices!C:C,MATCH(M135,choices!A:A,0)+20),""),IF(M135=INDEX(choices!A:A,MATCH(M135,choices!A:A,0)+20), "
","")," ")</f>
        <v xml:space="preserve">1. نعم
2. لا
 </v>
      </c>
      <c r="H135">
        <f t="shared" si="31"/>
        <v>13</v>
      </c>
      <c r="I135" s="274" t="str">
        <f t="shared" si="27"/>
        <v>14412_13</v>
      </c>
      <c r="L135" s="267" t="s">
        <v>170</v>
      </c>
      <c r="M135" s="275" t="s">
        <v>17</v>
      </c>
      <c r="N135" s="271" t="str">
        <f t="shared" si="28"/>
        <v>q14412_13</v>
      </c>
      <c r="O135" s="306" t="str">
        <f t="shared" si="29"/>
        <v>14412_13. بيع ارض</v>
      </c>
      <c r="P135" s="257" t="str">
        <f t="shared" si="30"/>
        <v>14412_13. sold land</v>
      </c>
      <c r="Q135" s="272"/>
      <c r="R135" s="272"/>
      <c r="S135"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35" s="47"/>
      <c r="U135" s="47"/>
      <c r="V135" s="47"/>
      <c r="W135" s="47"/>
      <c r="X135" s="47"/>
      <c r="Y135" s="71" t="b">
        <v>1</v>
      </c>
    </row>
    <row r="136" spans="1:31" ht="63">
      <c r="A136" s="271" t="str">
        <f t="shared" si="32"/>
        <v>14412_14</v>
      </c>
      <c r="B136" s="276" t="s">
        <v>906</v>
      </c>
      <c r="C136" s="276"/>
      <c r="D136" s="268" t="str">
        <f>CONCATENATE(INDEX(choices!D:D,MATCH(M136,choices!A:A,0)),"
",IF(M136=INDEX(choices!A:A,MATCH(M136,choices!A:A,0)+1),INDEX(choices!D:D,MATCH(M136,choices!A:A,0)+1),""),IF(M136=INDEX(choices!A:A,MATCH(M136,choices!A:A,0)+1), "
",""),IF(M136=INDEX(choices!A:A,MATCH(M136,choices!A:A,0)+2),INDEX(choices!D:D,MATCH(M136,choices!A:A,0)+2),""),IF(M136=INDEX(choices!A:A,MATCH(M136,choices!A:A,0)+2), "
",""),IF(M136=INDEX(choices!A:A,MATCH(M136,choices!A:A,0)+3),INDEX(choices!D:D,MATCH(M136,choices!A:A,0)+3),""),IF(M136=INDEX(choices!A:A,MATCH(M136,choices!A:A,0)+3), "
",""),IF(M136=INDEX(choices!A:A,MATCH(M136,choices!A:A,0)+4),INDEX(choices!D:D,MATCH(M136,choices!A:A,0)+4),""),IF(M136=INDEX(choices!A:A,MATCH(M136,choices!A:A,0)+4), "
",""),IF(M136=INDEX(choices!A:A,MATCH(M136,choices!A:A,0)+5),INDEX(choices!D:D,MATCH(M136,choices!A:A,0)+5),""),IF(M136=INDEX(choices!A:A,MATCH(M136,choices!A:A,0)+5), "
",""),IF(M136=INDEX(choices!A:A,MATCH(M136,choices!A:A,0)+6),INDEX(choices!D:D,MATCH(M136,choices!A:A,0)+6),""),IF(M136=INDEX(choices!A:A,MATCH(M136,choices!A:A,0)+6), "
",""),IF(M136=INDEX(choices!A:A,MATCH(M136,choices!A:A,0)+7),INDEX(choices!D:D,MATCH(M136,choices!A:A,0)+7),""),IF(M136=INDEX(choices!A:A,MATCH(M136,choices!A:A,0)+7), "
",""),IF(M136=INDEX(choices!A:A,MATCH(M136,choices!A:A,0)+8),INDEX(choices!D:D,MATCH(M136,choices!A:A,0)+8),""),IF(M136=INDEX(choices!A:A,MATCH(M136,choices!A:A,0)+8), "
",""),IF(M136=INDEX(choices!A:A,MATCH(M136,choices!A:A,0)+9),INDEX(choices!D:D,MATCH(M136,choices!A:A,0)+9),""),IF(M136=INDEX(choices!A:A,MATCH(M136,choices!A:A,0)+9), "
",""),IF(M136=INDEX(choices!A:A,MATCH(M136,choices!A:A,0)+10),INDEX(choices!D:D,MATCH(M136,choices!A:A,0)+10),""),IF(M136=INDEX(choices!A:A,MATCH(M136,choices!A:A,0)+10), "
",""),IF(M136=INDEX(choices!A:A,MATCH(M136,choices!A:A,0)+11),INDEX(choices!D:D,MATCH(M136,choices!A:A,0)+11),""),IF(M136=INDEX(choices!A:A,MATCH(M136,choices!A:A,0)+11), "
",""),IF(M136=INDEX(choices!A:A,MATCH(M136,choices!A:A,0)+12),INDEX(choices!D:D,MATCH(M136,choices!A:A,0)+12),""),IF(M136=INDEX(choices!A:A,MATCH(M136,choices!A:A,0)+12), "
",""),IF(M136=INDEX(choices!A:A,MATCH(M136,choices!A:A,0)+13),INDEX(choices!D:D,MATCH(M136,choices!A:A,0)+13),""),IF(M136=INDEX(choices!A:A,MATCH(M136,choices!A:A,0)+13), "
",""),IF(M136=INDEX(choices!A:A,MATCH(M136,choices!A:A,0)+14),INDEX(choices!D:D,MATCH(M136,choices!A:A,0)+14),""),IF(M136=INDEX(choices!A:A,MATCH(M136,choices!A:A,0)+14), "
",""),IF(M136=INDEX(choices!A:A,MATCH(M136,choices!A:A,0)+15),INDEX(choices!D:D,MATCH(M136,choices!A:A,0)+15),""),IF(M136=INDEX(choices!A:A,MATCH(M136,choices!A:A,0)+15), "
",""),IF(M136=INDEX(choices!A:A,MATCH(M136,choices!A:A,0)+16),INDEX(choices!D:D,MATCH(M136,choices!A:A,0)+16),""),IF(M136=INDEX(choices!A:A,MATCH(M136,choices!A:A,0)+16), "
",""),IF(M136=INDEX(choices!A:A,MATCH(M136,choices!A:A,0)+17),INDEX(choices!D:D,MATCH(M136,choices!A:A,0)+17),""),IF(M136=INDEX(choices!A:A,MATCH(M136,choices!A:A,0)+17), "
",""),IF(M136=INDEX(choices!A:A,MATCH(M136,choices!A:A,0)+18),INDEX(choices!D:D,MATCH(M136,choices!A:A,0)+18),""),IF(M136=INDEX(choices!A:A,MATCH(M136,choices!A:A,0)+18), "
",""),IF(M136=INDEX(choices!A:A,MATCH(M136,choices!A:A,0)+19),INDEX(choices!D:D,MATCH(M136,choices!A:A,0)+19),""),IF(M136=INDEX(choices!A:A,MATCH(M136,choices!A:A,0)+19), "
",""),IF(M136=INDEX(choices!A:A,MATCH(M136,choices!A:A,0)+20),INDEX(choices!D:D,MATCH(M136,choices!A:A,0)+20),""),IF(M136=INDEX(choices!A:A,MATCH(M136,choices!A:A,0)+20), "
",""))</f>
        <v xml:space="preserve">1. Yes
2. No
</v>
      </c>
      <c r="E136" s="366" t="s">
        <v>1274</v>
      </c>
      <c r="F136" s="276"/>
      <c r="G136" s="273" t="str">
        <f>CONCATENATE(INDEX(choices!C:C,MATCH(M136,choices!A:A,0)),"
",IF(M136=INDEX(choices!A:A,MATCH(M136,choices!A:A,0)+1),INDEX(choices!C:C,MATCH(M136,choices!A:A,0)+1),""),IF(M136=INDEX(choices!A:A,MATCH(M136,choices!A:A,0)+1), "
",""),IF(M136=INDEX(choices!A:A,MATCH(M136,choices!A:A,0)+2),INDEX(choices!C:C,MATCH(M136,choices!A:A,0)+2),""),IF(M136=INDEX(choices!A:A,MATCH(M136,choices!A:A,0)+2), "
",""),IF(M136=INDEX(choices!A:A,MATCH(M136,choices!A:A,0)+3),INDEX(choices!C:C,MATCH(M136,choices!A:A,0)+3),""),IF(M136=INDEX(choices!A:A,MATCH(M136,choices!A:A,0)+3), "
",""),IF(M136=INDEX(choices!A:A,MATCH(M136,choices!A:A,0)+4),INDEX(choices!C:C,MATCH(M136,choices!A:A,0)+4),""),IF(M136=INDEX(choices!A:A,MATCH(M136,choices!A:A,0)+4), "
",""),IF(M136=INDEX(choices!A:A,MATCH(M136,choices!A:A,0)+5),INDEX(choices!C:C,MATCH(M136,choices!A:A,0)+5),""),IF(M136=INDEX(choices!A:A,MATCH(M136,choices!A:A,0)+5), "
",""),IF(M136=INDEX(choices!A:A,MATCH(M136,choices!A:A,0)+6),INDEX(choices!C:C,MATCH(M136,choices!A:A,0)+6),""),IF(M136=INDEX(choices!A:A,MATCH(M136,choices!A:A,0)+6), "
",""),IF(M136=INDEX(choices!A:A,MATCH(M136,choices!A:A,0)+7),INDEX(choices!C:C,MATCH(M136,choices!A:A,0)+7),""),IF(M136=INDEX(choices!A:A,MATCH(M136,choices!A:A,0)+7), "
",""),IF(M136=INDEX(choices!A:A,MATCH(M136,choices!A:A,0)+8),INDEX(choices!C:C,MATCH(M136,choices!A:A,0)+8),""),IF(M136=INDEX(choices!A:A,MATCH(M136,choices!A:A,0)+8), "
",""),IF(M136=INDEX(choices!A:A,MATCH(M136,choices!A:A,0)+9),INDEX(choices!C:C,MATCH(M136,choices!A:A,0)+9),""),IF(M136=INDEX(choices!A:A,MATCH(M136,choices!A:A,0)+9), "
",""),IF(M136=INDEX(choices!A:A,MATCH(M136,choices!A:A,0)+10),INDEX(choices!C:C,MATCH(M136,choices!A:A,0)+10),""),IF(M136=INDEX(choices!A:A,MATCH(M136,choices!A:A,0)+10), "
",""),IF(M136=INDEX(choices!A:A,MATCH(M136,choices!A:A,0)+11),INDEX(choices!C:C,MATCH(M136,choices!A:A,0)+11),""),IF(M136=INDEX(choices!A:A,MATCH(M136,choices!A:A,0)+11), "
",""),IF(M136=INDEX(choices!A:A,MATCH(M136,choices!A:A,0)+12),INDEX(choices!C:C,MATCH(M136,choices!A:A,0)+12),""),IF(M136=INDEX(choices!A:A,MATCH(M136,choices!A:A,0)+12), "
",""),IF(M136=INDEX(choices!A:A,MATCH(M136,choices!A:A,0)+13),INDEX(choices!C:C,MATCH(M136,choices!A:A,0)+13),""),IF(M136=INDEX(choices!A:A,MATCH(M136,choices!A:A,0)+13), "
",""),IF(M136=INDEX(choices!A:A,MATCH(M136,choices!A:A,0)+14),INDEX(choices!C:C,MATCH(M136,choices!A:A,0)+14),""),IF(M136=INDEX(choices!A:A,MATCH(M136,choices!A:A,0)+14), "
",""),IF(M136=INDEX(choices!A:A,MATCH(M136,choices!A:A,0)+15),INDEX(choices!C:C,MATCH(M136,choices!A:A,0)+15),""),IF(M136=INDEX(choices!A:A,MATCH(M136,choices!A:A,0)+15), "
",""),IF(M136=INDEX(choices!A:A,MATCH(M136,choices!A:A,0)+16),INDEX(choices!C:C,MATCH(M136,choices!A:A,0)+16),""),IF(M136=INDEX(choices!A:A,MATCH(M136,choices!A:A,0)+16), "
",""),IF(M136=INDEX(choices!A:A,MATCH(M136,choices!A:A,0)+17),INDEX(choices!C:C,MATCH(M136,choices!A:A,0)+17),""),IF(M136=INDEX(choices!A:A,MATCH(M136,choices!A:A,0)+17), "
",""),IF(M136=INDEX(choices!A:A,MATCH(M136,choices!A:A,0)+18),INDEX(choices!C:C,MATCH(M136,choices!A:A,0)+18),""),IF(M136=INDEX(choices!A:A,MATCH(M136,choices!A:A,0)+18), "
",""),IF(M136=INDEX(choices!A:A,MATCH(M136,choices!A:A,0)+19),INDEX(choices!C:C,MATCH(M136,choices!A:A,0)+19),""),IF(M136=INDEX(choices!A:A,MATCH(M136,choices!A:A,0)+19), "
",""),IF(M136=INDEX(choices!A:A,MATCH(M136,choices!A:A,0)+20),INDEX(choices!C:C,MATCH(M136,choices!A:A,0)+20),""),IF(M136=INDEX(choices!A:A,MATCH(M136,choices!A:A,0)+20), "
","")," ")</f>
        <v xml:space="preserve">1. نعم
2. لا
 </v>
      </c>
      <c r="H136">
        <f t="shared" si="31"/>
        <v>14</v>
      </c>
      <c r="I136" s="274" t="str">
        <f t="shared" si="27"/>
        <v>14412_14</v>
      </c>
      <c r="L136" s="267" t="s">
        <v>170</v>
      </c>
      <c r="M136" s="275" t="s">
        <v>17</v>
      </c>
      <c r="N136" s="271" t="str">
        <f t="shared" si="28"/>
        <v>q14412_14</v>
      </c>
      <c r="O136" s="306" t="str">
        <f t="shared" si="29"/>
        <v>14412_14. اقتراض أموال من أحد المقرضين أو البنوك</v>
      </c>
      <c r="P136" s="257" t="str">
        <f t="shared" si="30"/>
        <v>14412_14. borrowed money from a moneylender or bank</v>
      </c>
      <c r="Q136" s="272"/>
      <c r="R136" s="272"/>
      <c r="S136"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36" s="47"/>
      <c r="U136" s="47"/>
      <c r="V136" s="47"/>
      <c r="W136" s="47"/>
      <c r="X136" s="47"/>
      <c r="Y136" s="71" t="b">
        <v>1</v>
      </c>
    </row>
    <row r="137" spans="1:31" ht="39">
      <c r="A137" s="48" t="str">
        <f>N137</f>
        <v>q14412_15</v>
      </c>
      <c r="B137" s="276" t="s">
        <v>907</v>
      </c>
      <c r="C137" s="276"/>
      <c r="D137" s="268" t="str">
        <f>CONCATENATE(INDEX(choices!D:D,MATCH(M137,choices!A:A,0)),"
",IF(M137=INDEX(choices!A:A,MATCH(M137,choices!A:A,0)+1),INDEX(choices!D:D,MATCH(M137,choices!A:A,0)+1),""),IF(M137=INDEX(choices!A:A,MATCH(M137,choices!A:A,0)+1), "
",""),IF(M137=INDEX(choices!A:A,MATCH(M137,choices!A:A,0)+2),INDEX(choices!D:D,MATCH(M137,choices!A:A,0)+2),""),IF(M137=INDEX(choices!A:A,MATCH(M137,choices!A:A,0)+2), "
",""),IF(M137=INDEX(choices!A:A,MATCH(M137,choices!A:A,0)+3),INDEX(choices!D:D,MATCH(M137,choices!A:A,0)+3),""),IF(M137=INDEX(choices!A:A,MATCH(M137,choices!A:A,0)+3), "
",""),IF(M137=INDEX(choices!A:A,MATCH(M137,choices!A:A,0)+4),INDEX(choices!D:D,MATCH(M137,choices!A:A,0)+4),""),IF(M137=INDEX(choices!A:A,MATCH(M137,choices!A:A,0)+4), "
",""),IF(M137=INDEX(choices!A:A,MATCH(M137,choices!A:A,0)+5),INDEX(choices!D:D,MATCH(M137,choices!A:A,0)+5),""),IF(M137=INDEX(choices!A:A,MATCH(M137,choices!A:A,0)+5), "
",""),IF(M137=INDEX(choices!A:A,MATCH(M137,choices!A:A,0)+6),INDEX(choices!D:D,MATCH(M137,choices!A:A,0)+6),""),IF(M137=INDEX(choices!A:A,MATCH(M137,choices!A:A,0)+6), "
",""),IF(M137=INDEX(choices!A:A,MATCH(M137,choices!A:A,0)+7),INDEX(choices!D:D,MATCH(M137,choices!A:A,0)+7),""),IF(M137=INDEX(choices!A:A,MATCH(M137,choices!A:A,0)+7), "
",""),IF(M137=INDEX(choices!A:A,MATCH(M137,choices!A:A,0)+8),INDEX(choices!D:D,MATCH(M137,choices!A:A,0)+8),""),IF(M137=INDEX(choices!A:A,MATCH(M137,choices!A:A,0)+8), "
",""),IF(M137=INDEX(choices!A:A,MATCH(M137,choices!A:A,0)+9),INDEX(choices!D:D,MATCH(M137,choices!A:A,0)+9),""),IF(M137=INDEX(choices!A:A,MATCH(M137,choices!A:A,0)+9), "
",""),IF(M137=INDEX(choices!A:A,MATCH(M137,choices!A:A,0)+10),INDEX(choices!D:D,MATCH(M137,choices!A:A,0)+10),""),IF(M137=INDEX(choices!A:A,MATCH(M137,choices!A:A,0)+10), "
",""),IF(M137=INDEX(choices!A:A,MATCH(M137,choices!A:A,0)+11),INDEX(choices!D:D,MATCH(M137,choices!A:A,0)+11),""),IF(M137=INDEX(choices!A:A,MATCH(M137,choices!A:A,0)+11), "
",""),IF(M137=INDEX(choices!A:A,MATCH(M137,choices!A:A,0)+12),INDEX(choices!D:D,MATCH(M137,choices!A:A,0)+12),""),IF(M137=INDEX(choices!A:A,MATCH(M137,choices!A:A,0)+12), "
",""),IF(M137=INDEX(choices!A:A,MATCH(M137,choices!A:A,0)+13),INDEX(choices!D:D,MATCH(M137,choices!A:A,0)+13),""),IF(M137=INDEX(choices!A:A,MATCH(M137,choices!A:A,0)+13), "
",""),IF(M137=INDEX(choices!A:A,MATCH(M137,choices!A:A,0)+14),INDEX(choices!D:D,MATCH(M137,choices!A:A,0)+14),""),IF(M137=INDEX(choices!A:A,MATCH(M137,choices!A:A,0)+14), "
",""),IF(M137=INDEX(choices!A:A,MATCH(M137,choices!A:A,0)+15),INDEX(choices!D:D,MATCH(M137,choices!A:A,0)+15),""),IF(M137=INDEX(choices!A:A,MATCH(M137,choices!A:A,0)+15), "
",""),IF(M137=INDEX(choices!A:A,MATCH(M137,choices!A:A,0)+16),INDEX(choices!D:D,MATCH(M137,choices!A:A,0)+16),""),IF(M137=INDEX(choices!A:A,MATCH(M137,choices!A:A,0)+16), "
",""),IF(M137=INDEX(choices!A:A,MATCH(M137,choices!A:A,0)+17),INDEX(choices!D:D,MATCH(M137,choices!A:A,0)+17),""),IF(M137=INDEX(choices!A:A,MATCH(M137,choices!A:A,0)+17), "
",""),IF(M137=INDEX(choices!A:A,MATCH(M137,choices!A:A,0)+18),INDEX(choices!D:D,MATCH(M137,choices!A:A,0)+18),""),IF(M137=INDEX(choices!A:A,MATCH(M137,choices!A:A,0)+18), "
",""),IF(M137=INDEX(choices!A:A,MATCH(M137,choices!A:A,0)+19),INDEX(choices!D:D,MATCH(M137,choices!A:A,0)+19),""),IF(M137=INDEX(choices!A:A,MATCH(M137,choices!A:A,0)+19), "
",""),IF(M137=INDEX(choices!A:A,MATCH(M137,choices!A:A,0)+20),INDEX(choices!D:D,MATCH(M137,choices!A:A,0)+20),""),IF(M137=INDEX(choices!A:A,MATCH(M137,choices!A:A,0)+20), "
",""))</f>
        <v xml:space="preserve">1. Yes
2. No
</v>
      </c>
      <c r="E137" s="366" t="s">
        <v>1275</v>
      </c>
      <c r="F137" s="276"/>
      <c r="G137" s="273" t="str">
        <f>CONCATENATE(INDEX(choices!C:C,MATCH(M137,choices!A:A,0)),"
",IF(M137=INDEX(choices!A:A,MATCH(M137,choices!A:A,0)+1),INDEX(choices!C:C,MATCH(M137,choices!A:A,0)+1),""),IF(M137=INDEX(choices!A:A,MATCH(M137,choices!A:A,0)+1), "
",""),IF(M137=INDEX(choices!A:A,MATCH(M137,choices!A:A,0)+2),INDEX(choices!C:C,MATCH(M137,choices!A:A,0)+2),""),IF(M137=INDEX(choices!A:A,MATCH(M137,choices!A:A,0)+2), "
",""),IF(M137=INDEX(choices!A:A,MATCH(M137,choices!A:A,0)+3),INDEX(choices!C:C,MATCH(M137,choices!A:A,0)+3),""),IF(M137=INDEX(choices!A:A,MATCH(M137,choices!A:A,0)+3), "
",""),IF(M137=INDEX(choices!A:A,MATCH(M137,choices!A:A,0)+4),INDEX(choices!C:C,MATCH(M137,choices!A:A,0)+4),""),IF(M137=INDEX(choices!A:A,MATCH(M137,choices!A:A,0)+4), "
",""),IF(M137=INDEX(choices!A:A,MATCH(M137,choices!A:A,0)+5),INDEX(choices!C:C,MATCH(M137,choices!A:A,0)+5),""),IF(M137=INDEX(choices!A:A,MATCH(M137,choices!A:A,0)+5), "
",""),IF(M137=INDEX(choices!A:A,MATCH(M137,choices!A:A,0)+6),INDEX(choices!C:C,MATCH(M137,choices!A:A,0)+6),""),IF(M137=INDEX(choices!A:A,MATCH(M137,choices!A:A,0)+6), "
",""),IF(M137=INDEX(choices!A:A,MATCH(M137,choices!A:A,0)+7),INDEX(choices!C:C,MATCH(M137,choices!A:A,0)+7),""),IF(M137=INDEX(choices!A:A,MATCH(M137,choices!A:A,0)+7), "
",""),IF(M137=INDEX(choices!A:A,MATCH(M137,choices!A:A,0)+8),INDEX(choices!C:C,MATCH(M137,choices!A:A,0)+8),""),IF(M137=INDEX(choices!A:A,MATCH(M137,choices!A:A,0)+8), "
",""),IF(M137=INDEX(choices!A:A,MATCH(M137,choices!A:A,0)+9),INDEX(choices!C:C,MATCH(M137,choices!A:A,0)+9),""),IF(M137=INDEX(choices!A:A,MATCH(M137,choices!A:A,0)+9), "
",""),IF(M137=INDEX(choices!A:A,MATCH(M137,choices!A:A,0)+10),INDEX(choices!C:C,MATCH(M137,choices!A:A,0)+10),""),IF(M137=INDEX(choices!A:A,MATCH(M137,choices!A:A,0)+10), "
",""),IF(M137=INDEX(choices!A:A,MATCH(M137,choices!A:A,0)+11),INDEX(choices!C:C,MATCH(M137,choices!A:A,0)+11),""),IF(M137=INDEX(choices!A:A,MATCH(M137,choices!A:A,0)+11), "
",""),IF(M137=INDEX(choices!A:A,MATCH(M137,choices!A:A,0)+12),INDEX(choices!C:C,MATCH(M137,choices!A:A,0)+12),""),IF(M137=INDEX(choices!A:A,MATCH(M137,choices!A:A,0)+12), "
",""),IF(M137=INDEX(choices!A:A,MATCH(M137,choices!A:A,0)+13),INDEX(choices!C:C,MATCH(M137,choices!A:A,0)+13),""),IF(M137=INDEX(choices!A:A,MATCH(M137,choices!A:A,0)+13), "
",""),IF(M137=INDEX(choices!A:A,MATCH(M137,choices!A:A,0)+14),INDEX(choices!C:C,MATCH(M137,choices!A:A,0)+14),""),IF(M137=INDEX(choices!A:A,MATCH(M137,choices!A:A,0)+14), "
",""),IF(M137=INDEX(choices!A:A,MATCH(M137,choices!A:A,0)+15),INDEX(choices!C:C,MATCH(M137,choices!A:A,0)+15),""),IF(M137=INDEX(choices!A:A,MATCH(M137,choices!A:A,0)+15), "
",""),IF(M137=INDEX(choices!A:A,MATCH(M137,choices!A:A,0)+16),INDEX(choices!C:C,MATCH(M137,choices!A:A,0)+16),""),IF(M137=INDEX(choices!A:A,MATCH(M137,choices!A:A,0)+16), "
",""),IF(M137=INDEX(choices!A:A,MATCH(M137,choices!A:A,0)+17),INDEX(choices!C:C,MATCH(M137,choices!A:A,0)+17),""),IF(M137=INDEX(choices!A:A,MATCH(M137,choices!A:A,0)+17), "
",""),IF(M137=INDEX(choices!A:A,MATCH(M137,choices!A:A,0)+18),INDEX(choices!C:C,MATCH(M137,choices!A:A,0)+18),""),IF(M137=INDEX(choices!A:A,MATCH(M137,choices!A:A,0)+18), "
",""),IF(M137=INDEX(choices!A:A,MATCH(M137,choices!A:A,0)+19),INDEX(choices!C:C,MATCH(M137,choices!A:A,0)+19),""),IF(M137=INDEX(choices!A:A,MATCH(M137,choices!A:A,0)+19), "
",""),IF(M137=INDEX(choices!A:A,MATCH(M137,choices!A:A,0)+20),INDEX(choices!C:C,MATCH(M137,choices!A:A,0)+20),""),IF(M137=INDEX(choices!A:A,MATCH(M137,choices!A:A,0)+20), "
","")," ")</f>
        <v xml:space="preserve">1. نعم
2. لا
 </v>
      </c>
      <c r="H137">
        <f t="shared" si="31"/>
        <v>15</v>
      </c>
      <c r="I137" s="274" t="str">
        <f t="shared" si="27"/>
        <v>14412_15</v>
      </c>
      <c r="L137" s="267" t="s">
        <v>170</v>
      </c>
      <c r="M137" s="275" t="s">
        <v>17</v>
      </c>
      <c r="N137" s="271" t="str">
        <f t="shared" si="28"/>
        <v>q14412_15</v>
      </c>
      <c r="O137" s="306" t="str">
        <f t="shared" si="29"/>
        <v>14412_15. بيع مجوهرات</v>
      </c>
      <c r="P137" s="257" t="str">
        <f t="shared" si="30"/>
        <v>14412_15. sold jewelry</v>
      </c>
      <c r="Q137" s="272"/>
      <c r="R137" s="272"/>
      <c r="S137"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37" s="47"/>
      <c r="U137" s="47"/>
      <c r="V137" s="47"/>
      <c r="W137" s="47"/>
      <c r="X137" s="47"/>
      <c r="Y137" s="71" t="b">
        <v>1</v>
      </c>
    </row>
    <row r="138" spans="1:31" ht="39">
      <c r="A138" s="48" t="str">
        <f>N138</f>
        <v>q14412_16</v>
      </c>
      <c r="B138" s="276" t="s">
        <v>891</v>
      </c>
      <c r="C138" s="276"/>
      <c r="D138" s="268" t="str">
        <f>CONCATENATE(INDEX(choices!D:D,MATCH(M138,choices!A:A,0)),"
",IF(M138=INDEX(choices!A:A,MATCH(M138,choices!A:A,0)+1),INDEX(choices!D:D,MATCH(M138,choices!A:A,0)+1),""),IF(M138=INDEX(choices!A:A,MATCH(M138,choices!A:A,0)+1), "
",""),IF(M138=INDEX(choices!A:A,MATCH(M138,choices!A:A,0)+2),INDEX(choices!D:D,MATCH(M138,choices!A:A,0)+2),""),IF(M138=INDEX(choices!A:A,MATCH(M138,choices!A:A,0)+2), "
",""),IF(M138=INDEX(choices!A:A,MATCH(M138,choices!A:A,0)+3),INDEX(choices!D:D,MATCH(M138,choices!A:A,0)+3),""),IF(M138=INDEX(choices!A:A,MATCH(M138,choices!A:A,0)+3), "
",""),IF(M138=INDEX(choices!A:A,MATCH(M138,choices!A:A,0)+4),INDEX(choices!D:D,MATCH(M138,choices!A:A,0)+4),""),IF(M138=INDEX(choices!A:A,MATCH(M138,choices!A:A,0)+4), "
",""),IF(M138=INDEX(choices!A:A,MATCH(M138,choices!A:A,0)+5),INDEX(choices!D:D,MATCH(M138,choices!A:A,0)+5),""),IF(M138=INDEX(choices!A:A,MATCH(M138,choices!A:A,0)+5), "
",""),IF(M138=INDEX(choices!A:A,MATCH(M138,choices!A:A,0)+6),INDEX(choices!D:D,MATCH(M138,choices!A:A,0)+6),""),IF(M138=INDEX(choices!A:A,MATCH(M138,choices!A:A,0)+6), "
",""),IF(M138=INDEX(choices!A:A,MATCH(M138,choices!A:A,0)+7),INDEX(choices!D:D,MATCH(M138,choices!A:A,0)+7),""),IF(M138=INDEX(choices!A:A,MATCH(M138,choices!A:A,0)+7), "
",""),IF(M138=INDEX(choices!A:A,MATCH(M138,choices!A:A,0)+8),INDEX(choices!D:D,MATCH(M138,choices!A:A,0)+8),""),IF(M138=INDEX(choices!A:A,MATCH(M138,choices!A:A,0)+8), "
",""),IF(M138=INDEX(choices!A:A,MATCH(M138,choices!A:A,0)+9),INDEX(choices!D:D,MATCH(M138,choices!A:A,0)+9),""),IF(M138=INDEX(choices!A:A,MATCH(M138,choices!A:A,0)+9), "
",""),IF(M138=INDEX(choices!A:A,MATCH(M138,choices!A:A,0)+10),INDEX(choices!D:D,MATCH(M138,choices!A:A,0)+10),""),IF(M138=INDEX(choices!A:A,MATCH(M138,choices!A:A,0)+10), "
",""),IF(M138=INDEX(choices!A:A,MATCH(M138,choices!A:A,0)+11),INDEX(choices!D:D,MATCH(M138,choices!A:A,0)+11),""),IF(M138=INDEX(choices!A:A,MATCH(M138,choices!A:A,0)+11), "
",""),IF(M138=INDEX(choices!A:A,MATCH(M138,choices!A:A,0)+12),INDEX(choices!D:D,MATCH(M138,choices!A:A,0)+12),""),IF(M138=INDEX(choices!A:A,MATCH(M138,choices!A:A,0)+12), "
",""),IF(M138=INDEX(choices!A:A,MATCH(M138,choices!A:A,0)+13),INDEX(choices!D:D,MATCH(M138,choices!A:A,0)+13),""),IF(M138=INDEX(choices!A:A,MATCH(M138,choices!A:A,0)+13), "
",""),IF(M138=INDEX(choices!A:A,MATCH(M138,choices!A:A,0)+14),INDEX(choices!D:D,MATCH(M138,choices!A:A,0)+14),""),IF(M138=INDEX(choices!A:A,MATCH(M138,choices!A:A,0)+14), "
",""),IF(M138=INDEX(choices!A:A,MATCH(M138,choices!A:A,0)+15),INDEX(choices!D:D,MATCH(M138,choices!A:A,0)+15),""),IF(M138=INDEX(choices!A:A,MATCH(M138,choices!A:A,0)+15), "
",""),IF(M138=INDEX(choices!A:A,MATCH(M138,choices!A:A,0)+16),INDEX(choices!D:D,MATCH(M138,choices!A:A,0)+16),""),IF(M138=INDEX(choices!A:A,MATCH(M138,choices!A:A,0)+16), "
",""),IF(M138=INDEX(choices!A:A,MATCH(M138,choices!A:A,0)+17),INDEX(choices!D:D,MATCH(M138,choices!A:A,0)+17),""),IF(M138=INDEX(choices!A:A,MATCH(M138,choices!A:A,0)+17), "
",""),IF(M138=INDEX(choices!A:A,MATCH(M138,choices!A:A,0)+18),INDEX(choices!D:D,MATCH(M138,choices!A:A,0)+18),""),IF(M138=INDEX(choices!A:A,MATCH(M138,choices!A:A,0)+18), "
",""),IF(M138=INDEX(choices!A:A,MATCH(M138,choices!A:A,0)+19),INDEX(choices!D:D,MATCH(M138,choices!A:A,0)+19),""),IF(M138=INDEX(choices!A:A,MATCH(M138,choices!A:A,0)+19), "
",""),IF(M138=INDEX(choices!A:A,MATCH(M138,choices!A:A,0)+20),INDEX(choices!D:D,MATCH(M138,choices!A:A,0)+20),""),IF(M138=INDEX(choices!A:A,MATCH(M138,choices!A:A,0)+20), "
",""))</f>
        <v xml:space="preserve">1. Yes
2. No
</v>
      </c>
      <c r="E138" s="366" t="s">
        <v>1232</v>
      </c>
      <c r="F138" s="276"/>
      <c r="G138" s="273" t="str">
        <f>CONCATENATE(INDEX(choices!C:C,MATCH(M138,choices!A:A,0)),"
",IF(M138=INDEX(choices!A:A,MATCH(M138,choices!A:A,0)+1),INDEX(choices!C:C,MATCH(M138,choices!A:A,0)+1),""),IF(M138=INDEX(choices!A:A,MATCH(M138,choices!A:A,0)+1), "
",""),IF(M138=INDEX(choices!A:A,MATCH(M138,choices!A:A,0)+2),INDEX(choices!C:C,MATCH(M138,choices!A:A,0)+2),""),IF(M138=INDEX(choices!A:A,MATCH(M138,choices!A:A,0)+2), "
",""),IF(M138=INDEX(choices!A:A,MATCH(M138,choices!A:A,0)+3),INDEX(choices!C:C,MATCH(M138,choices!A:A,0)+3),""),IF(M138=INDEX(choices!A:A,MATCH(M138,choices!A:A,0)+3), "
",""),IF(M138=INDEX(choices!A:A,MATCH(M138,choices!A:A,0)+4),INDEX(choices!C:C,MATCH(M138,choices!A:A,0)+4),""),IF(M138=INDEX(choices!A:A,MATCH(M138,choices!A:A,0)+4), "
",""),IF(M138=INDEX(choices!A:A,MATCH(M138,choices!A:A,0)+5),INDEX(choices!C:C,MATCH(M138,choices!A:A,0)+5),""),IF(M138=INDEX(choices!A:A,MATCH(M138,choices!A:A,0)+5), "
",""),IF(M138=INDEX(choices!A:A,MATCH(M138,choices!A:A,0)+6),INDEX(choices!C:C,MATCH(M138,choices!A:A,0)+6),""),IF(M138=INDEX(choices!A:A,MATCH(M138,choices!A:A,0)+6), "
",""),IF(M138=INDEX(choices!A:A,MATCH(M138,choices!A:A,0)+7),INDEX(choices!C:C,MATCH(M138,choices!A:A,0)+7),""),IF(M138=INDEX(choices!A:A,MATCH(M138,choices!A:A,0)+7), "
",""),IF(M138=INDEX(choices!A:A,MATCH(M138,choices!A:A,0)+8),INDEX(choices!C:C,MATCH(M138,choices!A:A,0)+8),""),IF(M138=INDEX(choices!A:A,MATCH(M138,choices!A:A,0)+8), "
",""),IF(M138=INDEX(choices!A:A,MATCH(M138,choices!A:A,0)+9),INDEX(choices!C:C,MATCH(M138,choices!A:A,0)+9),""),IF(M138=INDEX(choices!A:A,MATCH(M138,choices!A:A,0)+9), "
",""),IF(M138=INDEX(choices!A:A,MATCH(M138,choices!A:A,0)+10),INDEX(choices!C:C,MATCH(M138,choices!A:A,0)+10),""),IF(M138=INDEX(choices!A:A,MATCH(M138,choices!A:A,0)+10), "
",""),IF(M138=INDEX(choices!A:A,MATCH(M138,choices!A:A,0)+11),INDEX(choices!C:C,MATCH(M138,choices!A:A,0)+11),""),IF(M138=INDEX(choices!A:A,MATCH(M138,choices!A:A,0)+11), "
",""),IF(M138=INDEX(choices!A:A,MATCH(M138,choices!A:A,0)+12),INDEX(choices!C:C,MATCH(M138,choices!A:A,0)+12),""),IF(M138=INDEX(choices!A:A,MATCH(M138,choices!A:A,0)+12), "
",""),IF(M138=INDEX(choices!A:A,MATCH(M138,choices!A:A,0)+13),INDEX(choices!C:C,MATCH(M138,choices!A:A,0)+13),""),IF(M138=INDEX(choices!A:A,MATCH(M138,choices!A:A,0)+13), "
",""),IF(M138=INDEX(choices!A:A,MATCH(M138,choices!A:A,0)+14),INDEX(choices!C:C,MATCH(M138,choices!A:A,0)+14),""),IF(M138=INDEX(choices!A:A,MATCH(M138,choices!A:A,0)+14), "
",""),IF(M138=INDEX(choices!A:A,MATCH(M138,choices!A:A,0)+15),INDEX(choices!C:C,MATCH(M138,choices!A:A,0)+15),""),IF(M138=INDEX(choices!A:A,MATCH(M138,choices!A:A,0)+15), "
",""),IF(M138=INDEX(choices!A:A,MATCH(M138,choices!A:A,0)+16),INDEX(choices!C:C,MATCH(M138,choices!A:A,0)+16),""),IF(M138=INDEX(choices!A:A,MATCH(M138,choices!A:A,0)+16), "
",""),IF(M138=INDEX(choices!A:A,MATCH(M138,choices!A:A,0)+17),INDEX(choices!C:C,MATCH(M138,choices!A:A,0)+17),""),IF(M138=INDEX(choices!A:A,MATCH(M138,choices!A:A,0)+17), "
",""),IF(M138=INDEX(choices!A:A,MATCH(M138,choices!A:A,0)+18),INDEX(choices!C:C,MATCH(M138,choices!A:A,0)+18),""),IF(M138=INDEX(choices!A:A,MATCH(M138,choices!A:A,0)+18), "
",""),IF(M138=INDEX(choices!A:A,MATCH(M138,choices!A:A,0)+19),INDEX(choices!C:C,MATCH(M138,choices!A:A,0)+19),""),IF(M138=INDEX(choices!A:A,MATCH(M138,choices!A:A,0)+19), "
",""),IF(M138=INDEX(choices!A:A,MATCH(M138,choices!A:A,0)+20),INDEX(choices!C:C,MATCH(M138,choices!A:A,0)+20),""),IF(M138=INDEX(choices!A:A,MATCH(M138,choices!A:A,0)+20), "
","")," ")</f>
        <v xml:space="preserve">1. نعم
2. لا
 </v>
      </c>
      <c r="H138">
        <f t="shared" si="31"/>
        <v>16</v>
      </c>
      <c r="I138" s="274" t="str">
        <f t="shared" si="27"/>
        <v>14412_16</v>
      </c>
      <c r="L138" s="267" t="s">
        <v>170</v>
      </c>
      <c r="M138" s="275" t="s">
        <v>17</v>
      </c>
      <c r="N138" s="271" t="str">
        <f t="shared" si="28"/>
        <v>q14412_16</v>
      </c>
      <c r="O138" s="306" t="str">
        <f t="shared" si="29"/>
        <v>14412_16. أخرى (حدد)</v>
      </c>
      <c r="P138" s="257" t="str">
        <f t="shared" si="30"/>
        <v>14412_16. other (specify)</v>
      </c>
      <c r="Q138" s="272"/>
      <c r="R138" s="272"/>
      <c r="S138" s="43" t="str">
        <f>CONCATENATE(K$120, " &amp;&amp; ", '1_0_statistical_identification'!$S$164)</f>
        <v>(selected(data('q14411_1'),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38" s="47"/>
      <c r="U138" s="47"/>
      <c r="V138" s="47"/>
      <c r="W138" s="47"/>
      <c r="X138" s="47"/>
      <c r="Y138" s="71" t="b">
        <v>1</v>
      </c>
    </row>
    <row r="139" spans="1:31" s="1" customFormat="1">
      <c r="A139" s="28"/>
      <c r="B139" s="129"/>
      <c r="C139" s="129"/>
      <c r="D139" s="28"/>
      <c r="E139" s="138"/>
      <c r="F139" s="129"/>
      <c r="G139" s="133"/>
      <c r="H139" s="133"/>
      <c r="I139" s="28"/>
      <c r="J139" s="163" t="s">
        <v>23</v>
      </c>
      <c r="K139" s="14" t="str">
        <f>CONCATENATE("selected (data('",N138,"'), '1') &amp;&amp; ", K120)</f>
        <v>selected (data('q14412_16'), '1') &amp;&amp; (selected(data('q14411_1'),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v>
      </c>
      <c r="L139" s="19"/>
      <c r="M139" s="12"/>
      <c r="N139" s="14"/>
      <c r="O139" s="48"/>
      <c r="P139" s="31"/>
      <c r="Q139" s="31"/>
      <c r="R139" s="28"/>
      <c r="S139" s="43"/>
      <c r="T139" s="14"/>
      <c r="U139" s="14"/>
      <c r="V139" s="14"/>
      <c r="W139" s="14"/>
      <c r="X139" s="14"/>
      <c r="Y139" s="28"/>
      <c r="Z139" s="28"/>
      <c r="AA139" s="14"/>
      <c r="AB139" s="6"/>
      <c r="AC139" s="14"/>
      <c r="AD139" s="14"/>
      <c r="AE139" s="14"/>
    </row>
    <row r="140" spans="1:31" s="1" customFormat="1" ht="30">
      <c r="A140" s="48" t="str">
        <f>N140</f>
        <v>q14412_16_other</v>
      </c>
      <c r="B140" s="129" t="s">
        <v>393</v>
      </c>
      <c r="C140" s="129"/>
      <c r="D140" s="28"/>
      <c r="E140" s="138" t="s">
        <v>1088</v>
      </c>
      <c r="F140" s="129"/>
      <c r="G140" s="133"/>
      <c r="H140" s="133"/>
      <c r="I140" s="28" t="str">
        <f>CONCATENATE(I138,"_other")</f>
        <v>14412_16_other</v>
      </c>
      <c r="J140" s="43"/>
      <c r="K140" s="14"/>
      <c r="L140" s="19" t="s">
        <v>8</v>
      </c>
      <c r="M140" s="12"/>
      <c r="N140" s="14" t="str">
        <f>CONCATENATE("q",I140)</f>
        <v>q14412_16_other</v>
      </c>
      <c r="O140" s="48" t="str">
        <f>CONCATENATE(I140,". ",E140)</f>
        <v>14412_16_other. أخرى</v>
      </c>
      <c r="P140" s="48" t="str">
        <f>CONCATENATE($I140,". ",B140)</f>
        <v xml:space="preserve">14412_16_other. Other: </v>
      </c>
      <c r="Q140" s="28"/>
      <c r="R140" s="28"/>
      <c r="S140" s="43" t="str">
        <f>CONCATENATE(K139, " &amp;&amp; ", '1_0_statistical_identification'!$S$164)</f>
        <v>selected (data('q14412_16'), '1') &amp;&amp; (selected(data('q14411_1'), '1') || selected(data('q14411_2'), '1') || selected(data('q14411_3'), '1') || selected(data('q14411_4'), '1') ||selected(data('q14411_5'), '1') || selected(data('q14411_6'), '1') || selected(data('q14411_7'), '1') || selected(data('q14411_8'), '1') || selected(data('q14411_9'), '1') || selected(data('q14411_10'), '1') || selected(data('q14411_11'), '1') || selected(data('q14411_12'), '1') || selected(data('q14411_13'), '1') || selected(data('q14411_14'), '1') || selected(data('q14411_15'), '1')  || selected(data('q14411_16'), '1') ||  selected(data('q14411_17'), '1')) &amp;&amp; (data('valid_overall') == 1)</v>
      </c>
      <c r="T140" s="47"/>
      <c r="U140" s="47"/>
      <c r="V140" s="47"/>
      <c r="W140" s="47"/>
      <c r="X140" s="47"/>
      <c r="Y140" s="14" t="b">
        <v>1</v>
      </c>
      <c r="Z140" s="28"/>
      <c r="AB140" s="6"/>
      <c r="AC140" s="14"/>
      <c r="AD140" s="19"/>
      <c r="AE140" s="14"/>
    </row>
    <row r="141" spans="1:31" s="1" customFormat="1">
      <c r="A141" s="28"/>
      <c r="B141" s="129"/>
      <c r="C141" s="129"/>
      <c r="D141" s="28"/>
      <c r="E141" s="129"/>
      <c r="F141" s="129"/>
      <c r="G141" s="133"/>
      <c r="H141" s="134"/>
      <c r="I141" s="28"/>
      <c r="J141" s="163" t="s">
        <v>24</v>
      </c>
      <c r="K141" s="14"/>
      <c r="L141" s="19"/>
      <c r="M141" s="12"/>
      <c r="N141" s="14"/>
      <c r="O141" s="48"/>
      <c r="P141" s="31"/>
      <c r="Q141" s="31"/>
      <c r="R141" s="28"/>
      <c r="S141" s="43"/>
      <c r="T141" s="14"/>
      <c r="U141" s="14"/>
      <c r="V141" s="14"/>
      <c r="W141" s="14"/>
      <c r="X141" s="14"/>
      <c r="Y141" s="28"/>
      <c r="Z141" s="28"/>
      <c r="AA141" s="14"/>
      <c r="AB141" s="6"/>
      <c r="AC141" s="14"/>
      <c r="AD141" s="14"/>
      <c r="AE141" s="14"/>
    </row>
    <row r="142" spans="1:31">
      <c r="J142" s="43" t="s">
        <v>21</v>
      </c>
    </row>
    <row r="143" spans="1:31">
      <c r="J143" s="281" t="s">
        <v>24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opLeftCell="C1" workbookViewId="0">
      <pane ySplit="2" topLeftCell="A12" activePane="bottomLeft" state="frozen"/>
      <selection pane="bottomLeft" activeCell="L19" sqref="L19:M19"/>
    </sheetView>
  </sheetViews>
  <sheetFormatPr defaultColWidth="8.85546875" defaultRowHeight="15"/>
  <cols>
    <col min="1" max="1" width="10.42578125" style="64" customWidth="1"/>
    <col min="2" max="4" width="15.42578125" style="64" customWidth="1"/>
    <col min="5" max="6" width="15.42578125" style="22" customWidth="1"/>
    <col min="7" max="7" width="15.42578125" style="64" customWidth="1"/>
    <col min="8" max="8" width="19" style="183" customWidth="1"/>
    <col min="9" max="9" width="10.42578125" style="64" bestFit="1" customWidth="1"/>
    <col min="10" max="10" width="12.42578125" style="64" bestFit="1" customWidth="1"/>
    <col min="11" max="11" width="14.42578125" style="64" customWidth="1"/>
    <col min="12" max="12" width="18.42578125" style="64" bestFit="1" customWidth="1"/>
    <col min="13" max="13" width="26.42578125" style="64" bestFit="1" customWidth="1"/>
    <col min="14" max="14" width="19.42578125" style="64" bestFit="1" customWidth="1"/>
    <col min="15" max="16" width="27.85546875" style="31" customWidth="1"/>
    <col min="17" max="17" width="24.42578125" style="31" bestFit="1" customWidth="1"/>
    <col min="18" max="18" width="25.85546875" style="64" customWidth="1"/>
    <col min="19" max="20" width="18.42578125" style="31" bestFit="1" customWidth="1"/>
    <col min="21" max="21" width="18.42578125" style="31" customWidth="1"/>
    <col min="22" max="22" width="31.85546875" style="64" customWidth="1"/>
    <col min="23" max="23" width="10.42578125" style="64" bestFit="1" customWidth="1"/>
    <col min="24" max="24" width="9.85546875" style="64" bestFit="1" customWidth="1"/>
    <col min="25" max="25" width="14.42578125" style="64" bestFit="1" customWidth="1"/>
    <col min="26" max="26" width="11.85546875" style="64" bestFit="1" customWidth="1"/>
    <col min="27" max="27" width="11" style="64" bestFit="1" customWidth="1"/>
    <col min="28" max="29" width="16.42578125" style="64" customWidth="1"/>
    <col min="30" max="30" width="14.42578125" style="64" customWidth="1"/>
    <col min="31" max="16384" width="8.85546875" style="64"/>
  </cols>
  <sheetData>
    <row r="1" spans="1:29" s="332" customFormat="1">
      <c r="A1" s="332" t="s">
        <v>5</v>
      </c>
      <c r="B1" s="94" t="s">
        <v>5</v>
      </c>
      <c r="C1" s="94" t="s">
        <v>5</v>
      </c>
      <c r="D1" s="94" t="s">
        <v>5</v>
      </c>
      <c r="E1" s="94" t="s">
        <v>5</v>
      </c>
      <c r="F1" s="94" t="s">
        <v>5</v>
      </c>
      <c r="G1" s="94" t="s">
        <v>5</v>
      </c>
      <c r="H1" s="94" t="s">
        <v>5</v>
      </c>
      <c r="I1" s="332" t="s">
        <v>5</v>
      </c>
      <c r="J1" s="334" t="s">
        <v>0</v>
      </c>
      <c r="K1" s="334" t="s">
        <v>1</v>
      </c>
      <c r="L1" s="332" t="s">
        <v>2</v>
      </c>
      <c r="M1" s="332" t="s">
        <v>3</v>
      </c>
      <c r="N1" s="94" t="s">
        <v>4</v>
      </c>
      <c r="O1" s="94" t="s">
        <v>1282</v>
      </c>
      <c r="P1" s="94" t="s">
        <v>1283</v>
      </c>
      <c r="Q1" s="62" t="s">
        <v>1286</v>
      </c>
      <c r="R1" s="62" t="s">
        <v>1287</v>
      </c>
      <c r="S1" s="370" t="s">
        <v>7</v>
      </c>
      <c r="T1" s="332" t="s">
        <v>47</v>
      </c>
      <c r="U1" s="332" t="s">
        <v>148</v>
      </c>
      <c r="V1" s="332" t="s">
        <v>25</v>
      </c>
      <c r="W1" s="52" t="s">
        <v>1288</v>
      </c>
      <c r="X1" s="52" t="s">
        <v>1289</v>
      </c>
      <c r="Y1" s="332" t="s">
        <v>6</v>
      </c>
      <c r="Z1" s="160" t="s">
        <v>374</v>
      </c>
      <c r="AA1" s="160" t="s">
        <v>375</v>
      </c>
    </row>
    <row r="2" spans="1:29" s="52" customFormat="1" ht="45">
      <c r="A2" s="102" t="s">
        <v>353</v>
      </c>
      <c r="B2" s="95" t="s">
        <v>354</v>
      </c>
      <c r="C2" s="102" t="s">
        <v>1187</v>
      </c>
      <c r="D2" s="95" t="s">
        <v>358</v>
      </c>
      <c r="E2" s="95" t="s">
        <v>355</v>
      </c>
      <c r="F2" s="102" t="s">
        <v>1186</v>
      </c>
      <c r="G2" s="102" t="s">
        <v>357</v>
      </c>
      <c r="H2" s="74" t="s">
        <v>356</v>
      </c>
      <c r="I2" s="74" t="s">
        <v>426</v>
      </c>
      <c r="J2" s="15"/>
      <c r="K2" s="15"/>
      <c r="O2" s="62"/>
      <c r="P2" s="62"/>
      <c r="AB2" s="98"/>
      <c r="AC2" s="98"/>
    </row>
    <row r="3" spans="1:29" s="52" customFormat="1">
      <c r="A3" s="104" t="s">
        <v>364</v>
      </c>
      <c r="B3" s="104" t="s">
        <v>365</v>
      </c>
      <c r="C3" s="104" t="s">
        <v>364</v>
      </c>
      <c r="D3" s="104" t="s">
        <v>364</v>
      </c>
      <c r="E3" s="104" t="s">
        <v>365</v>
      </c>
      <c r="F3" s="104" t="s">
        <v>364</v>
      </c>
      <c r="G3" s="104" t="s">
        <v>364</v>
      </c>
      <c r="H3" s="223" t="s">
        <v>364</v>
      </c>
      <c r="I3" s="223" t="s">
        <v>364</v>
      </c>
      <c r="J3" s="15"/>
      <c r="K3" s="15"/>
      <c r="O3" s="62"/>
      <c r="P3" s="62"/>
      <c r="S3" s="62"/>
      <c r="AB3" s="98"/>
      <c r="AC3" s="98"/>
    </row>
    <row r="4" spans="1:29" s="161" customFormat="1" ht="45">
      <c r="B4" s="202" t="s">
        <v>640</v>
      </c>
      <c r="C4" s="202"/>
      <c r="D4" s="30"/>
      <c r="E4" s="205" t="s">
        <v>641</v>
      </c>
      <c r="F4" s="205"/>
      <c r="H4" s="98"/>
      <c r="J4" s="62"/>
      <c r="K4" s="62"/>
      <c r="L4" s="16" t="s">
        <v>22</v>
      </c>
      <c r="M4" s="31"/>
      <c r="N4" s="63"/>
      <c r="O4" s="31" t="str">
        <f>E4</f>
        <v xml:space="preserve"> 15.0 الأنشطة الأسرية غير الزراعية </v>
      </c>
      <c r="P4" s="31" t="str">
        <f>B4</f>
        <v xml:space="preserve">15.0 Household Non-Farm Activities </v>
      </c>
      <c r="AB4" s="31"/>
      <c r="AC4" s="31"/>
    </row>
    <row r="5" spans="1:29" s="33" customFormat="1" ht="15.75" customHeight="1">
      <c r="E5" s="113"/>
      <c r="F5" s="113"/>
      <c r="H5" s="160"/>
      <c r="J5" s="52"/>
      <c r="K5" s="52"/>
      <c r="N5" s="52"/>
      <c r="O5" s="161"/>
      <c r="P5" s="161"/>
      <c r="S5" s="161"/>
      <c r="AB5" s="19"/>
      <c r="AC5" s="19"/>
    </row>
    <row r="6" spans="1:29" s="19" customFormat="1" ht="153">
      <c r="A6" s="48" t="str">
        <f>N6</f>
        <v>q15101</v>
      </c>
      <c r="B6" s="212" t="s">
        <v>440</v>
      </c>
      <c r="C6" s="212"/>
      <c r="D6" s="31" t="str">
        <f>CONCATENATE(INDEX(choices!D:D,MATCH(M6,choices!A:A,0)),"
",IF(M6=INDEX(choices!A:A,MATCH(M6,choices!A:A,0)+1),INDEX(choices!D:D,MATCH(M6,choices!A:A,0)+1),""),IF(M6=INDEX(choices!A:A,MATCH(M6,choices!A:A,0)+1), "
",""),IF(M6=INDEX(choices!A:A,MATCH(M6,choices!A:A,0)+2),INDEX(choices!D:D,MATCH(M6,choices!A:A,0)+2),""),IF(M6=INDEX(choices!A:A,MATCH(M6,choices!A:A,0)+2), "
",""),IF(M6=INDEX(choices!A:A,MATCH(M6,choices!A:A,0)+3),INDEX(choices!D:D,MATCH(M6,choices!A:A,0)+3),""),IF(M6=INDEX(choices!A:A,MATCH(M6,choices!A:A,0)+3), "
",""),IF(M6=INDEX(choices!A:A,MATCH(M6,choices!A:A,0)+4),INDEX(choices!D:D,MATCH(M6,choices!A:A,0)+4),""),IF(M6=INDEX(choices!A:A,MATCH(M6,choices!A:A,0)+4), "
",""),IF(M6=INDEX(choices!A:A,MATCH(M6,choices!A:A,0)+5),INDEX(choices!D:D,MATCH(M6,choices!A:A,0)+5),""),IF(M6=INDEX(choices!A:A,MATCH(M6,choices!A:A,0)+5), "
",""),IF(M6=INDEX(choices!A:A,MATCH(M6,choices!A:A,0)+6),INDEX(choices!D:D,MATCH(M6,choices!A:A,0)+6),""),IF(M6=INDEX(choices!A:A,MATCH(M6,choices!A:A,0)+6), "
",""),IF(M6=INDEX(choices!A:A,MATCH(M6,choices!A:A,0)+7),INDEX(choices!D:D,MATCH(M6,choices!A:A,0)+7),""),IF(M6=INDEX(choices!A:A,MATCH(M6,choices!A:A,0)+7), "
",""),IF(M6=INDEX(choices!A:A,MATCH(M6,choices!A:A,0)+8),INDEX(choices!D:D,MATCH(M6,choices!A:A,0)+8),""),IF(M6=INDEX(choices!A:A,MATCH(M6,choices!A:A,0)+8), "
",""),IF(M6=INDEX(choices!A:A,MATCH(M6,choices!A:A,0)+9),INDEX(choices!D:D,MATCH(M6,choices!A:A,0)+9),""),IF(M6=INDEX(choices!A:A,MATCH(M6,choices!A:A,0)+9), "
",""),IF(M6=INDEX(choices!A:A,MATCH(M6,choices!A:A,0)+10),INDEX(choices!D:D,MATCH(M6,choices!A:A,0)+10),""),IF(M6=INDEX(choices!A:A,MATCH(M6,choices!A:A,0)+10), "
",""),IF(M6=INDEX(choices!A:A,MATCH(M6,choices!A:A,0)+11),INDEX(choices!D:D,MATCH(M6,choices!A:A,0)+11),""),IF(M6=INDEX(choices!A:A,MATCH(M6,choices!A:A,0)+11), "
",""),IF(M6=INDEX(choices!A:A,MATCH(M6,choices!A:A,0)+12),INDEX(choices!D:D,MATCH(M6,choices!A:A,0)+12),""),IF(M6=INDEX(choices!A:A,MATCH(M6,choices!A:A,0)+12), "
",""),IF(M6=INDEX(choices!A:A,MATCH(M6,choices!A:A,0)+13),INDEX(choices!D:D,MATCH(M6,choices!A:A,0)+13),""),IF(M6=INDEX(choices!A:A,MATCH(M6,choices!A:A,0)+13), "
",""),IF(M6=INDEX(choices!A:A,MATCH(M6,choices!A:A,0)+14),INDEX(choices!D:D,MATCH(M6,choices!A:A,0)+14),""),IF(M6=INDEX(choices!A:A,MATCH(M6,choices!A:A,0)+14), "
",""),IF(M6=INDEX(choices!A:A,MATCH(M6,choices!A:A,0)+15),INDEX(choices!D:D,MATCH(M6,choices!A:A,0)+15),""),IF(M6=INDEX(choices!A:A,MATCH(M6,choices!A:A,0)+15), "
",""),IF(M6=INDEX(choices!A:A,MATCH(M6,choices!A:A,0)+16),INDEX(choices!D:D,MATCH(M6,choices!A:A,0)+16),""),IF(M6=INDEX(choices!A:A,MATCH(M6,choices!A:A,0)+16), "
",""),IF(M6=INDEX(choices!A:A,MATCH(M6,choices!A:A,0)+17),INDEX(choices!D:D,MATCH(M6,choices!A:A,0)+17),""),IF(M6=INDEX(choices!A:A,MATCH(M6,choices!A:A,0)+17), "
",""),IF(M6=INDEX(choices!A:A,MATCH(M6,choices!A:A,0)+18),INDEX(choices!D:D,MATCH(M6,choices!A:A,0)+18),""),IF(M6=INDEX(choices!A:A,MATCH(M6,choices!A:A,0)+18), "
",""),IF(M6=INDEX(choices!A:A,MATCH(M6,choices!A:A,0)+19),INDEX(choices!D:D,MATCH(M6,choices!A:A,0)+19),""),IF(M6=INDEX(choices!A:A,MATCH(M6,choices!A:A,0)+19), "
",""),IF(M6=INDEX(choices!A:A,MATCH(M6,choices!A:A,0)+20),INDEX(choices!D:D,MATCH(M6,choices!A:A,0)+20),""),IF(M6=INDEX(choices!A:A,MATCH(M6,choices!A:A,0)+20), "
",""))</f>
        <v xml:space="preserve">1. Yes
2. No
</v>
      </c>
      <c r="E6" s="307" t="s">
        <v>995</v>
      </c>
      <c r="F6" s="307"/>
      <c r="G6" s="127" t="str">
        <f>CONCATENATE(INDEX(choices!C:C,MATCH(M6,choices!A:A,0)),"
",IF(M6=INDEX(choices!A:A,MATCH(M6,choices!A:A,0)+1),INDEX(choices!C:C,MATCH(M6,choices!A:A,0)+1),""),IF(M6=INDEX(choices!A:A,MATCH(M6,choices!A:A,0)+1), "
",""),IF(M6=INDEX(choices!A:A,MATCH(M6,choices!A:A,0)+2),INDEX(choices!C:C,MATCH(M6,choices!A:A,0)+2),""),IF(M6=INDEX(choices!A:A,MATCH(M6,choices!A:A,0)+2), "
",""),IF(M6=INDEX(choices!A:A,MATCH(M6,choices!A:A,0)+3),INDEX(choices!C:C,MATCH(M6,choices!A:A,0)+3),""),IF(M6=INDEX(choices!A:A,MATCH(M6,choices!A:A,0)+3), "
",""),IF(M6=INDEX(choices!A:A,MATCH(M6,choices!A:A,0)+4),INDEX(choices!C:C,MATCH(M6,choices!A:A,0)+4),""),IF(M6=INDEX(choices!A:A,MATCH(M6,choices!A:A,0)+4), "
",""),IF(M6=INDEX(choices!A:A,MATCH(M6,choices!A:A,0)+5),INDEX(choices!C:C,MATCH(M6,choices!A:A,0)+5),""),IF(M6=INDEX(choices!A:A,MATCH(M6,choices!A:A,0)+5), "
",""),IF(M6=INDEX(choices!A:A,MATCH(M6,choices!A:A,0)+6),INDEX(choices!C:C,MATCH(M6,choices!A:A,0)+6),""),IF(M6=INDEX(choices!A:A,MATCH(M6,choices!A:A,0)+6), "
",""),IF(M6=INDEX(choices!A:A,MATCH(M6,choices!A:A,0)+7),INDEX(choices!C:C,MATCH(M6,choices!A:A,0)+7),""),IF(M6=INDEX(choices!A:A,MATCH(M6,choices!A:A,0)+7), "
",""),IF(M6=INDEX(choices!A:A,MATCH(M6,choices!A:A,0)+8),INDEX(choices!C:C,MATCH(M6,choices!A:A,0)+8),""),IF(M6=INDEX(choices!A:A,MATCH(M6,choices!A:A,0)+8), "
",""),IF(M6=INDEX(choices!A:A,MATCH(M6,choices!A:A,0)+9),INDEX(choices!C:C,MATCH(M6,choices!A:A,0)+9),""),IF(M6=INDEX(choices!A:A,MATCH(M6,choices!A:A,0)+9), "
",""),IF(M6=INDEX(choices!A:A,MATCH(M6,choices!A:A,0)+10),INDEX(choices!C:C,MATCH(M6,choices!A:A,0)+10),""),IF(M6=INDEX(choices!A:A,MATCH(M6,choices!A:A,0)+10), "
",""),IF(M6=INDEX(choices!A:A,MATCH(M6,choices!A:A,0)+11),INDEX(choices!C:C,MATCH(M6,choices!A:A,0)+11),""),IF(M6=INDEX(choices!A:A,MATCH(M6,choices!A:A,0)+11), "
",""),IF(M6=INDEX(choices!A:A,MATCH(M6,choices!A:A,0)+12),INDEX(choices!C:C,MATCH(M6,choices!A:A,0)+12),""),IF(M6=INDEX(choices!A:A,MATCH(M6,choices!A:A,0)+12), "
",""),IF(M6=INDEX(choices!A:A,MATCH(M6,choices!A:A,0)+13),INDEX(choices!C:C,MATCH(M6,choices!A:A,0)+13),""),IF(M6=INDEX(choices!A:A,MATCH(M6,choices!A:A,0)+13), "
",""),IF(M6=INDEX(choices!A:A,MATCH(M6,choices!A:A,0)+14),INDEX(choices!C:C,MATCH(M6,choices!A:A,0)+14),""),IF(M6=INDEX(choices!A:A,MATCH(M6,choices!A:A,0)+14), "
",""),IF(M6=INDEX(choices!A:A,MATCH(M6,choices!A:A,0)+15),INDEX(choices!C:C,MATCH(M6,choices!A:A,0)+15),""),IF(M6=INDEX(choices!A:A,MATCH(M6,choices!A:A,0)+15), "
",""),IF(M6=INDEX(choices!A:A,MATCH(M6,choices!A:A,0)+16),INDEX(choices!C:C,MATCH(M6,choices!A:A,0)+16),""),IF(M6=INDEX(choices!A:A,MATCH(M6,choices!A:A,0)+16), "
",""),IF(M6=INDEX(choices!A:A,MATCH(M6,choices!A:A,0)+17),INDEX(choices!C:C,MATCH(M6,choices!A:A,0)+17),""),IF(M6=INDEX(choices!A:A,MATCH(M6,choices!A:A,0)+17), "
",""),IF(M6=INDEX(choices!A:A,MATCH(M6,choices!A:A,0)+18),INDEX(choices!C:C,MATCH(M6,choices!A:A,0)+18),""),IF(M6=INDEX(choices!A:A,MATCH(M6,choices!A:A,0)+18), "
",""),IF(M6=INDEX(choices!A:A,MATCH(M6,choices!A:A,0)+19),INDEX(choices!C:C,MATCH(M6,choices!A:A,0)+19),""),IF(M6=INDEX(choices!A:A,MATCH(M6,choices!A:A,0)+19), "
",""),IF(M6=INDEX(choices!A:A,MATCH(M6,choices!A:A,0)+20),INDEX(choices!C:C,MATCH(M6,choices!A:A,0)+20),""),IF(M6=INDEX(choices!A:A,MATCH(M6,choices!A:A,0)+20), "
","")," ")</f>
        <v xml:space="preserve">1. نعم
2. لا
 </v>
      </c>
      <c r="H6" s="308" t="s">
        <v>642</v>
      </c>
      <c r="I6" s="164">
        <v>15101</v>
      </c>
      <c r="J6" s="16"/>
      <c r="K6" s="16"/>
      <c r="L6" s="16" t="s">
        <v>18</v>
      </c>
      <c r="M6" s="19" t="s">
        <v>17</v>
      </c>
      <c r="N6" s="164" t="str">
        <f>CONCATENATE("q",I6)</f>
        <v>q15101</v>
      </c>
      <c r="O6" s="31" t="str">
        <f>CONCATENATE(I6, ". ",E6)</f>
        <v>15101. هل يملك ويدير أو يعمل أي من أفراد الأسرة في نشاط غير زراعي أو مشروع خاص بالأسرة يهدف الى إنتاج خدمة أو سلعة بغرض البيع؟</v>
      </c>
      <c r="P6" s="31" t="str">
        <f>CONCATENATE(I6, ". ",B6)</f>
        <v>15101. Does any member of the family own and manage or work in non-agricultural projects or private activities that aim to produce a service or a good for sale?</v>
      </c>
      <c r="S6" s="31" t="s">
        <v>499</v>
      </c>
    </row>
    <row r="7" spans="1:29" s="19" customFormat="1">
      <c r="A7" s="104"/>
      <c r="B7" s="212"/>
      <c r="C7" s="212"/>
      <c r="D7" s="104"/>
      <c r="E7" s="307"/>
      <c r="F7" s="307"/>
      <c r="G7" s="128"/>
      <c r="H7" s="180"/>
      <c r="I7" s="164"/>
      <c r="J7" s="16" t="s">
        <v>23</v>
      </c>
      <c r="K7" s="16" t="str">
        <f>CONCATENATE("selected(data('",N6,"'), 1)")</f>
        <v>selected(data('q15101'), 1)</v>
      </c>
      <c r="L7" s="16"/>
      <c r="N7" s="164"/>
      <c r="O7" s="31"/>
      <c r="P7" s="31"/>
      <c r="S7" s="31"/>
      <c r="AB7" s="64"/>
      <c r="AC7" s="64"/>
    </row>
    <row r="8" spans="1:29" s="19" customFormat="1" ht="60">
      <c r="A8" s="48" t="str">
        <f>N8</f>
        <v>q15102</v>
      </c>
      <c r="B8" s="164" t="s">
        <v>439</v>
      </c>
      <c r="C8" s="164"/>
      <c r="D8" s="164"/>
      <c r="E8" s="164" t="s">
        <v>996</v>
      </c>
      <c r="F8" s="164"/>
      <c r="G8" s="31"/>
      <c r="H8" s="181"/>
      <c r="I8" s="164">
        <f>I6+1</f>
        <v>15102</v>
      </c>
      <c r="J8" s="16"/>
      <c r="K8" s="16"/>
      <c r="L8" s="16" t="s">
        <v>19</v>
      </c>
      <c r="N8" s="164" t="str">
        <f>CONCATENATE("q",I8)</f>
        <v>q15102</v>
      </c>
      <c r="O8" s="31" t="str">
        <f>CONCATENATE(I8, ". ",E8)</f>
        <v>15102. ما هو عدد المشروعات الخاصة بالأسرة؟</v>
      </c>
      <c r="P8" s="31" t="str">
        <f>CONCATENATE(I8, ". ",B8)</f>
        <v>15102. What is the number of the household enterprises?</v>
      </c>
      <c r="S8" s="31" t="str">
        <f>CONCATENATE(K$7, " &amp;&amp; ", S6)</f>
        <v>selected(data('q15101'), 1) &amp;&amp; (data('valid_overall') == 1)</v>
      </c>
      <c r="Y8" s="19" t="b">
        <v>1</v>
      </c>
      <c r="AB8" s="64"/>
      <c r="AC8" s="64"/>
    </row>
    <row r="9" spans="1:29" ht="30">
      <c r="A9" s="31"/>
      <c r="B9" s="31" t="s">
        <v>438</v>
      </c>
      <c r="C9" s="31"/>
      <c r="D9" s="31"/>
      <c r="E9" s="309" t="s">
        <v>997</v>
      </c>
      <c r="F9" s="309"/>
      <c r="G9" s="31"/>
      <c r="H9" s="181"/>
      <c r="I9" s="31"/>
      <c r="J9" s="66"/>
      <c r="K9" s="19"/>
      <c r="L9" s="19" t="s">
        <v>60</v>
      </c>
      <c r="M9" s="63" t="s">
        <v>295</v>
      </c>
      <c r="O9" s="31" t="str">
        <f>E9</f>
        <v xml:space="preserve">صف المشروعات: </v>
      </c>
      <c r="P9" s="31" t="str">
        <f>B9</f>
        <v xml:space="preserve">Describe the enterprises: </v>
      </c>
      <c r="Q9" s="64"/>
      <c r="R9" s="31"/>
      <c r="S9" s="31" t="str">
        <f>CONCATENATE(K$7, " &amp;&amp; ", S6)</f>
        <v>selected(data('q15101'), 1) &amp;&amp; (data('valid_overall') == 1)</v>
      </c>
      <c r="T9" s="64"/>
      <c r="U9" s="64"/>
      <c r="Y9" s="19" t="b">
        <v>1</v>
      </c>
      <c r="AB9" s="19"/>
      <c r="AC9" s="19"/>
    </row>
    <row r="10" spans="1:29" s="19" customFormat="1">
      <c r="A10" s="64"/>
      <c r="B10" s="31"/>
      <c r="C10" s="31"/>
      <c r="D10" s="64"/>
      <c r="E10" s="22"/>
      <c r="F10" s="22"/>
      <c r="G10" s="64"/>
      <c r="H10" s="50"/>
      <c r="I10" s="31"/>
      <c r="J10" s="66" t="s">
        <v>20</v>
      </c>
      <c r="M10" s="16"/>
      <c r="O10" s="48"/>
      <c r="P10" s="31"/>
      <c r="R10" s="40"/>
      <c r="S10" s="31"/>
      <c r="V10" s="31"/>
      <c r="Y10" s="31"/>
    </row>
    <row r="11" spans="1:29" ht="60">
      <c r="A11" s="31"/>
      <c r="B11" s="31" t="s">
        <v>437</v>
      </c>
      <c r="C11" s="31"/>
      <c r="D11" s="31"/>
      <c r="E11" s="309" t="s">
        <v>998</v>
      </c>
      <c r="F11" s="309"/>
      <c r="G11" s="31"/>
      <c r="H11" s="181"/>
      <c r="I11" s="31"/>
      <c r="L11" s="19" t="s">
        <v>60</v>
      </c>
      <c r="M11" s="63" t="s">
        <v>297</v>
      </c>
      <c r="O11" s="31" t="str">
        <f>E11</f>
        <v>عدل معلومات المشروعات:</v>
      </c>
      <c r="P11" s="31" t="str">
        <f>B11</f>
        <v xml:space="preserve">Edit information about the enterprises: </v>
      </c>
      <c r="Q11" s="64"/>
      <c r="R11" s="19"/>
      <c r="S11" s="31" t="str">
        <f>CONCATENATE(K$7, " &amp;&amp; ", S6)</f>
        <v>selected(data('q15101'), 1) &amp;&amp; (data('valid_overall') == 1)</v>
      </c>
      <c r="Y11" s="19" t="b">
        <v>1</v>
      </c>
      <c r="Z11" s="19" t="b">
        <v>1</v>
      </c>
      <c r="AA11" s="19" t="b">
        <v>1</v>
      </c>
    </row>
    <row r="12" spans="1:29" s="18" customFormat="1">
      <c r="A12" s="30"/>
      <c r="B12" s="131"/>
      <c r="C12" s="131"/>
      <c r="D12" s="31"/>
      <c r="E12" s="137"/>
      <c r="F12" s="137"/>
      <c r="G12" s="129"/>
      <c r="H12" s="182"/>
      <c r="I12" s="30"/>
      <c r="L12" s="174" t="s">
        <v>376</v>
      </c>
      <c r="M12" s="169" t="s">
        <v>590</v>
      </c>
      <c r="N12" s="174" t="s">
        <v>588</v>
      </c>
      <c r="O12" s="48"/>
      <c r="P12" s="127"/>
      <c r="R12" s="155"/>
      <c r="S12" s="31"/>
      <c r="V12" s="30"/>
      <c r="Y12" s="19" t="b">
        <v>1</v>
      </c>
    </row>
    <row r="13" spans="1:29" s="18" customFormat="1">
      <c r="A13" s="30"/>
      <c r="B13" s="131"/>
      <c r="C13" s="131"/>
      <c r="D13" s="31"/>
      <c r="E13" s="137"/>
      <c r="F13" s="137"/>
      <c r="G13" s="129"/>
      <c r="H13" s="182"/>
      <c r="I13" s="30"/>
      <c r="L13" s="174" t="s">
        <v>376</v>
      </c>
      <c r="M13" s="169" t="s">
        <v>591</v>
      </c>
      <c r="N13" s="174" t="s">
        <v>589</v>
      </c>
      <c r="O13" s="48"/>
      <c r="P13" s="127"/>
      <c r="R13" s="155"/>
      <c r="S13" s="30"/>
      <c r="V13" s="30"/>
      <c r="Y13" s="19" t="b">
        <v>1</v>
      </c>
    </row>
    <row r="14" spans="1:29" s="18" customFormat="1">
      <c r="A14" s="30"/>
      <c r="B14" s="131"/>
      <c r="C14" s="131"/>
      <c r="D14" s="31"/>
      <c r="E14" s="137"/>
      <c r="F14" s="137"/>
      <c r="G14" s="129"/>
      <c r="H14" s="182"/>
      <c r="I14" s="30"/>
      <c r="J14" s="140" t="s">
        <v>21</v>
      </c>
      <c r="L14" s="174"/>
      <c r="M14" s="169"/>
      <c r="N14" s="174"/>
      <c r="O14" s="48"/>
      <c r="P14" s="127"/>
      <c r="R14" s="155"/>
      <c r="S14" s="30"/>
      <c r="V14" s="30"/>
      <c r="Y14" s="30"/>
    </row>
    <row r="15" spans="1:29">
      <c r="J15" s="64" t="s">
        <v>42</v>
      </c>
      <c r="Q15" s="64"/>
      <c r="R15" s="19"/>
    </row>
    <row r="16" spans="1:29" s="18" customFormat="1">
      <c r="A16" s="30"/>
      <c r="B16" s="131"/>
      <c r="C16" s="131"/>
      <c r="D16" s="31"/>
      <c r="E16" s="137"/>
      <c r="F16" s="137"/>
      <c r="G16" s="129"/>
      <c r="H16" s="182"/>
      <c r="I16" s="30"/>
      <c r="J16" s="21" t="s">
        <v>51</v>
      </c>
      <c r="K16" s="18" t="str">
        <f>CONCATENATE("selected(data('",N6,"'), '1')")</f>
        <v>selected(data('q15101'), '1')</v>
      </c>
      <c r="L16" s="174"/>
      <c r="M16" s="169"/>
      <c r="N16" s="174"/>
      <c r="O16" s="48"/>
      <c r="P16" s="127"/>
      <c r="R16" s="155"/>
      <c r="S16" s="30"/>
      <c r="V16" s="30"/>
      <c r="W16" s="30"/>
    </row>
    <row r="17" spans="1:26" s="18" customFormat="1">
      <c r="A17" s="30"/>
      <c r="B17" s="131"/>
      <c r="C17" s="131"/>
      <c r="D17" s="31"/>
      <c r="E17" s="137"/>
      <c r="F17" s="137"/>
      <c r="G17" s="129"/>
      <c r="H17" s="182"/>
      <c r="I17" s="30"/>
      <c r="J17" s="140" t="s">
        <v>20</v>
      </c>
      <c r="L17" s="174"/>
      <c r="M17" s="169"/>
      <c r="N17" s="174"/>
      <c r="O17" s="48"/>
      <c r="P17" s="127"/>
      <c r="R17" s="155"/>
      <c r="S17" s="30"/>
      <c r="V17" s="30"/>
      <c r="W17" s="30"/>
    </row>
    <row r="18" spans="1:26" s="18" customFormat="1" ht="165">
      <c r="A18" s="30"/>
      <c r="B18" s="131" t="str">
        <f>CONCATENATE("You stated there were {{data.",N8, "}} enterprises. You started {{data.",N12,"}} enterprises and finished {{data.",N13,"}}.")</f>
        <v>You stated there were {{data.q15102}} enterprises. You started {{data.zenterprise_count_1}} enterprises and finished {{data.zenterprise_count_2}}.</v>
      </c>
      <c r="C18" s="131"/>
      <c r="D18" s="31"/>
      <c r="E18" s="310" t="str">
        <f>CONCATENATE("لقد ذكرت عدد مشروعات:  ", "{{data.", N8, "}}", " . لقد بدأت بالعدد:  ", "{{data.",N12,"}}", "  وانتهيت بالعدد:  ", " {{data.",N13," }}.")</f>
        <v>لقد ذكرت عدد مشروعات:  {{data.q15102}} . لقد بدأت بالعدد:  {{data.zenterprise_count_1}}  وانتهيت بالعدد:   {{data.zenterprise_count_2 }}.</v>
      </c>
      <c r="F18" s="310"/>
      <c r="G18" s="129"/>
      <c r="H18" s="116"/>
      <c r="I18" s="30"/>
      <c r="J18" s="140"/>
      <c r="L18" s="174" t="s">
        <v>22</v>
      </c>
      <c r="M18" s="169"/>
      <c r="N18" s="174"/>
      <c r="O18" s="48" t="str">
        <f>E18</f>
        <v>لقد ذكرت عدد مشروعات:  {{data.q15102}} . لقد بدأت بالعدد:  {{data.zenterprise_count_1}}  وانتهيت بالعدد:   {{data.zenterprise_count_2 }}.</v>
      </c>
      <c r="P18" s="31" t="str">
        <f>B18</f>
        <v>You stated there were {{data.q15102}} enterprises. You started {{data.zenterprise_count_1}} enterprises and finished {{data.zenterprise_count_2}}.</v>
      </c>
      <c r="R18" s="155"/>
      <c r="S18" s="30"/>
      <c r="V18" s="30"/>
      <c r="W18" s="30"/>
      <c r="Y18" s="18" t="b">
        <v>1</v>
      </c>
    </row>
    <row r="19" spans="1:26" s="18" customFormat="1" ht="105">
      <c r="A19" s="30"/>
      <c r="B19" s="131"/>
      <c r="C19" s="48" t="str">
        <f>CONCATENATE("Constraints: ", X19)</f>
        <v>Constraints: Need to complete all enterprises</v>
      </c>
      <c r="D19" s="31"/>
      <c r="F19" s="48" t="str">
        <f xml:space="preserve"> CONCATENATE("Constraints: ",W19)</f>
        <v>Constraints: يجب إستكمال بيانات جميع المشروعات</v>
      </c>
      <c r="G19" s="129"/>
      <c r="H19" s="182"/>
      <c r="I19" s="30"/>
      <c r="J19" s="140"/>
      <c r="L19" s="434" t="s">
        <v>18</v>
      </c>
      <c r="M19" s="71" t="s">
        <v>1594</v>
      </c>
      <c r="N19" s="174" t="s">
        <v>805</v>
      </c>
      <c r="O19" s="48"/>
      <c r="P19" s="127"/>
      <c r="R19" s="155"/>
      <c r="S19" s="30" t="str">
        <f xml:space="preserve"> CONCATENATE(K16, " &amp;&amp; ",S6)</f>
        <v>selected(data('q15101'), '1') &amp;&amp; (data('valid_overall') == 1)</v>
      </c>
      <c r="V19" s="30" t="str">
        <f>CONCATENATE("data('valid_overall') == 0 || selected(data('",N6,"'), '2') || ((data('",N12,"') == data('",N13,"')) &amp;&amp; (data('",N12,"') == data('",N8,"')) &amp;&amp; (data('",N8,"') == data('",N13,"')))")</f>
        <v>data('valid_overall') == 0 || selected(data('q15101'), '2') || ((data('zenterprise_count_1') == data('zenterprise_count_2')) &amp;&amp; (data('zenterprise_count_1') == data('q15102')) &amp;&amp; (data('q15102') == data('zenterprise_count_2')))</v>
      </c>
      <c r="W19" s="311" t="s">
        <v>999</v>
      </c>
      <c r="X19" s="30" t="s">
        <v>611</v>
      </c>
      <c r="Y19" s="18" t="b">
        <v>1</v>
      </c>
    </row>
    <row r="20" spans="1:26" s="19" customFormat="1" ht="15.75">
      <c r="A20" s="30"/>
      <c r="B20" s="129"/>
      <c r="C20" s="129"/>
      <c r="D20" s="31"/>
      <c r="E20" s="137"/>
      <c r="F20" s="137"/>
      <c r="G20" s="129"/>
      <c r="H20" s="182"/>
      <c r="I20" s="31"/>
      <c r="J20" s="140" t="s">
        <v>21</v>
      </c>
      <c r="M20" s="16"/>
      <c r="O20" s="48"/>
      <c r="P20" s="31"/>
      <c r="Q20" s="31"/>
      <c r="R20" s="40"/>
      <c r="V20" s="31"/>
      <c r="W20" s="31"/>
      <c r="X20" s="156"/>
      <c r="Y20" s="157"/>
      <c r="Z20" s="18"/>
    </row>
    <row r="21" spans="1:26" s="19" customFormat="1">
      <c r="A21" s="64"/>
      <c r="B21" s="64"/>
      <c r="C21" s="64"/>
      <c r="D21" s="64"/>
      <c r="E21" s="22"/>
      <c r="F21" s="22"/>
      <c r="G21" s="64"/>
      <c r="H21" s="183"/>
      <c r="J21" s="19" t="s">
        <v>24</v>
      </c>
      <c r="O21" s="48"/>
      <c r="P21" s="31"/>
      <c r="R21" s="40"/>
      <c r="V21" s="31"/>
      <c r="W21" s="31"/>
    </row>
    <row r="22" spans="1:26">
      <c r="A22" s="9"/>
      <c r="O22" s="164"/>
    </row>
    <row r="23" spans="1:26">
      <c r="A23" s="19"/>
      <c r="O23" s="181"/>
    </row>
    <row r="24" spans="1:26">
      <c r="A24" s="19"/>
      <c r="O24" s="181"/>
    </row>
    <row r="25" spans="1:26">
      <c r="O25" s="181"/>
    </row>
    <row r="26" spans="1:26">
      <c r="E26" s="21"/>
      <c r="F26" s="21"/>
      <c r="G26" s="9"/>
      <c r="H26" s="211"/>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6"/>
  <sheetViews>
    <sheetView topLeftCell="I1" workbookViewId="0">
      <pane ySplit="2" topLeftCell="A3" activePane="bottomLeft" state="frozen"/>
      <selection pane="bottomLeft" activeCell="S14" sqref="S14"/>
    </sheetView>
  </sheetViews>
  <sheetFormatPr defaultColWidth="8.85546875" defaultRowHeight="15"/>
  <cols>
    <col min="1" max="1" width="8.85546875" style="1"/>
    <col min="2" max="3" width="17.42578125" style="28" customWidth="1"/>
    <col min="4" max="4" width="17.42578125" style="162" customWidth="1"/>
    <col min="5" max="6" width="17.42578125" style="48" customWidth="1"/>
    <col min="7" max="7" width="17.42578125" style="28" customWidth="1"/>
    <col min="8" max="8" width="17.42578125" style="162" customWidth="1"/>
    <col min="9" max="9" width="10.42578125" style="1" bestFit="1" customWidth="1"/>
    <col min="10" max="10" width="10.42578125" style="1" customWidth="1"/>
    <col min="11" max="11" width="20.42578125" style="1" customWidth="1"/>
    <col min="12" max="12" width="12" style="1" bestFit="1" customWidth="1"/>
    <col min="13" max="13" width="18" style="1" bestFit="1" customWidth="1"/>
    <col min="14" max="14" width="10" style="1" bestFit="1" customWidth="1"/>
    <col min="15" max="15" width="18.7109375" style="86" customWidth="1"/>
    <col min="16" max="16" width="18.7109375" style="28" customWidth="1"/>
    <col min="17" max="17" width="18.7109375" style="86" customWidth="1"/>
    <col min="18" max="18" width="18.7109375" style="28" customWidth="1"/>
    <col min="19" max="19" width="33" style="28" customWidth="1"/>
    <col min="20" max="21" width="17.42578125" style="28" customWidth="1"/>
    <col min="22" max="22" width="25.42578125" style="1" bestFit="1" customWidth="1"/>
    <col min="23" max="25" width="14.42578125" style="1" customWidth="1"/>
    <col min="26" max="26" width="11.85546875" style="1" bestFit="1" customWidth="1"/>
    <col min="27" max="27" width="11" style="1" bestFit="1" customWidth="1"/>
    <col min="28" max="28" width="8.85546875" style="1"/>
    <col min="29" max="29" width="24.140625" style="1" customWidth="1"/>
    <col min="30" max="30" width="11.140625" style="1" customWidth="1"/>
    <col min="31" max="31" width="17.42578125" style="1" customWidth="1"/>
    <col min="32" max="32" width="14.42578125" style="1" customWidth="1"/>
    <col min="33" max="16384" width="8.85546875" style="1"/>
  </cols>
  <sheetData>
    <row r="1" spans="1:30" s="332" customFormat="1" ht="30">
      <c r="A1" s="332" t="s">
        <v>5</v>
      </c>
      <c r="B1" s="94" t="s">
        <v>5</v>
      </c>
      <c r="C1" s="94" t="s">
        <v>5</v>
      </c>
      <c r="D1" s="94" t="s">
        <v>5</v>
      </c>
      <c r="E1" s="94" t="s">
        <v>5</v>
      </c>
      <c r="F1" s="94" t="s">
        <v>5</v>
      </c>
      <c r="G1" s="94" t="s">
        <v>5</v>
      </c>
      <c r="H1" s="94" t="s">
        <v>5</v>
      </c>
      <c r="I1" s="332" t="s">
        <v>5</v>
      </c>
      <c r="J1" s="334" t="s">
        <v>0</v>
      </c>
      <c r="K1" s="334" t="s">
        <v>1</v>
      </c>
      <c r="L1" s="332" t="s">
        <v>2</v>
      </c>
      <c r="M1" s="332" t="s">
        <v>3</v>
      </c>
      <c r="N1" s="94" t="s">
        <v>4</v>
      </c>
      <c r="O1" s="347" t="s">
        <v>1282</v>
      </c>
      <c r="P1" s="94" t="s">
        <v>1283</v>
      </c>
      <c r="Q1" s="73" t="s">
        <v>1286</v>
      </c>
      <c r="R1" s="62" t="s">
        <v>1287</v>
      </c>
      <c r="S1" s="62" t="s">
        <v>7</v>
      </c>
      <c r="T1" s="332" t="s">
        <v>47</v>
      </c>
      <c r="U1" s="332" t="s">
        <v>148</v>
      </c>
      <c r="V1" s="332" t="s">
        <v>25</v>
      </c>
      <c r="W1" s="52" t="s">
        <v>1288</v>
      </c>
      <c r="X1" s="52" t="s">
        <v>1289</v>
      </c>
      <c r="Y1" s="52" t="s">
        <v>6</v>
      </c>
      <c r="Z1" s="160" t="s">
        <v>374</v>
      </c>
      <c r="AA1" s="160" t="s">
        <v>375</v>
      </c>
    </row>
    <row r="2" spans="1:30" s="52" customFormat="1" ht="45">
      <c r="A2" s="102" t="s">
        <v>353</v>
      </c>
      <c r="B2" s="103" t="s">
        <v>354</v>
      </c>
      <c r="C2" s="102" t="s">
        <v>1187</v>
      </c>
      <c r="D2" s="103" t="s">
        <v>358</v>
      </c>
      <c r="E2" s="95" t="s">
        <v>355</v>
      </c>
      <c r="F2" s="102" t="s">
        <v>1186</v>
      </c>
      <c r="G2" s="79" t="s">
        <v>357</v>
      </c>
      <c r="H2" s="74" t="s">
        <v>356</v>
      </c>
      <c r="I2" s="74" t="s">
        <v>426</v>
      </c>
      <c r="J2" s="15"/>
      <c r="K2" s="15"/>
      <c r="O2" s="73"/>
      <c r="P2" s="62"/>
      <c r="Q2" s="73"/>
      <c r="R2" s="62"/>
      <c r="S2" s="62"/>
      <c r="T2" s="62"/>
      <c r="U2" s="62"/>
    </row>
    <row r="3" spans="1:30" s="52" customFormat="1">
      <c r="A3" s="104" t="s">
        <v>364</v>
      </c>
      <c r="B3" s="104" t="s">
        <v>365</v>
      </c>
      <c r="C3" s="104" t="s">
        <v>364</v>
      </c>
      <c r="D3" s="104" t="s">
        <v>364</v>
      </c>
      <c r="E3" s="104" t="s">
        <v>365</v>
      </c>
      <c r="F3" s="104" t="s">
        <v>364</v>
      </c>
      <c r="G3" s="104" t="s">
        <v>364</v>
      </c>
      <c r="H3" s="105" t="s">
        <v>364</v>
      </c>
      <c r="I3" s="105" t="s">
        <v>364</v>
      </c>
      <c r="J3" s="15"/>
      <c r="K3" s="15"/>
      <c r="O3" s="73"/>
      <c r="P3" s="62"/>
      <c r="Q3" s="73"/>
      <c r="R3" s="62"/>
      <c r="S3" s="62"/>
      <c r="T3" s="62"/>
      <c r="U3" s="62"/>
    </row>
    <row r="4" spans="1:30" s="16" customFormat="1" ht="30">
      <c r="A4" s="104"/>
      <c r="B4" s="48" t="s">
        <v>748</v>
      </c>
      <c r="C4" s="48"/>
      <c r="D4" s="185"/>
      <c r="E4" s="231" t="s">
        <v>746</v>
      </c>
      <c r="F4" s="231"/>
      <c r="G4" s="104"/>
      <c r="H4" s="179"/>
      <c r="I4" s="105"/>
      <c r="J4" s="54"/>
      <c r="K4" s="54"/>
      <c r="L4" s="16" t="s">
        <v>22</v>
      </c>
      <c r="O4" s="48" t="str">
        <f>E4</f>
        <v>16 الأنشطة الزراعية</v>
      </c>
      <c r="P4" s="31" t="str">
        <f>B4</f>
        <v>16.  Agricultural Activities</v>
      </c>
      <c r="Q4" s="78"/>
      <c r="R4" s="63"/>
      <c r="S4" s="63"/>
      <c r="T4" s="63"/>
      <c r="U4" s="63"/>
    </row>
    <row r="5" spans="1:30" s="19" customFormat="1" ht="45">
      <c r="B5" s="228" t="s">
        <v>615</v>
      </c>
      <c r="C5" s="228"/>
      <c r="D5" s="212"/>
      <c r="E5" s="231" t="s">
        <v>747</v>
      </c>
      <c r="F5" s="231"/>
      <c r="G5" s="229"/>
      <c r="H5" s="181"/>
      <c r="J5" s="229"/>
      <c r="K5" s="229"/>
      <c r="L5" s="230" t="s">
        <v>22</v>
      </c>
      <c r="N5" s="16"/>
      <c r="O5" s="48" t="str">
        <f>E5</f>
        <v>16.1 الأصول الزراعية: الأراضي</v>
      </c>
      <c r="P5" s="31" t="str">
        <f>B5</f>
        <v>Section 16.1 Agriculture Assets: Lands</v>
      </c>
      <c r="Q5" s="48"/>
      <c r="R5" s="31"/>
      <c r="S5" s="31"/>
      <c r="T5" s="31"/>
      <c r="U5" s="31"/>
    </row>
    <row r="6" spans="1:30" s="19" customFormat="1" ht="105">
      <c r="A6" s="19" t="str">
        <f>CONCATENATE("q",$I6)</f>
        <v>q16101</v>
      </c>
      <c r="B6" s="31" t="s">
        <v>463</v>
      </c>
      <c r="C6" s="48" t="str">
        <f>CONCATENATE("Hints: ", R6)</f>
        <v>Hints: rent out any land (to others) or rent land from others (including sharecropping)</v>
      </c>
      <c r="D6" s="127" t="str">
        <f>CONCATENATE(INDEX(choices!D:D,MATCH(M6,choices!A:A,0)),"
",IF(M6=INDEX(choices!A:A,MATCH(M6,choices!A:A,0)+1),INDEX(choices!D:D,MATCH(M6,choices!A:A,0)+1),""),IF(M6=INDEX(choices!A:A,MATCH(M6,choices!A:A,0)+1), "
",""),IF(M6=INDEX(choices!A:A,MATCH(M6,choices!A:A,0)+2),INDEX(choices!D:D,MATCH(M6,choices!A:A,0)+2),""),IF(M6=INDEX(choices!A:A,MATCH(M6,choices!A:A,0)+2), "
",""),IF(M6=INDEX(choices!A:A,MATCH(M6,choices!A:A,0)+3),INDEX(choices!D:D,MATCH(M6,choices!A:A,0)+3),""),IF(M6=INDEX(choices!A:A,MATCH(M6,choices!A:A,0)+3), "
",""),IF(M6=INDEX(choices!A:A,MATCH(M6,choices!A:A,0)+4),INDEX(choices!D:D,MATCH(M6,choices!A:A,0)+4),""),IF(M6=INDEX(choices!A:A,MATCH(M6,choices!A:A,0)+4), "
",""),IF(M6=INDEX(choices!A:A,MATCH(M6,choices!A:A,0)+5),INDEX(choices!D:D,MATCH(M6,choices!A:A,0)+5),""),IF(M6=INDEX(choices!A:A,MATCH(M6,choices!A:A,0)+5), "
",""),IF(M6=INDEX(choices!A:A,MATCH(M6,choices!A:A,0)+6),INDEX(choices!D:D,MATCH(M6,choices!A:A,0)+6),""),IF(M6=INDEX(choices!A:A,MATCH(M6,choices!A:A,0)+6), "
",""),IF(M6=INDEX(choices!A:A,MATCH(M6,choices!A:A,0)+7),INDEX(choices!D:D,MATCH(M6,choices!A:A,0)+7),""),IF(M6=INDEX(choices!A:A,MATCH(M6,choices!A:A,0)+7), "
",""),IF(M6=INDEX(choices!A:A,MATCH(M6,choices!A:A,0)+8),INDEX(choices!D:D,MATCH(M6,choices!A:A,0)+8),""),IF(M6=INDEX(choices!A:A,MATCH(M6,choices!A:A,0)+8), "
",""),IF(M6=INDEX(choices!A:A,MATCH(M6,choices!A:A,0)+9),INDEX(choices!D:D,MATCH(M6,choices!A:A,0)+9),""),IF(M6=INDEX(choices!A:A,MATCH(M6,choices!A:A,0)+9), "
",""),IF(M6=INDEX(choices!A:A,MATCH(M6,choices!A:A,0)+10),INDEX(choices!D:D,MATCH(M6,choices!A:A,0)+10),""),IF(M6=INDEX(choices!A:A,MATCH(M6,choices!A:A,0)+10), "
",""),IF(M6=INDEX(choices!A:A,MATCH(M6,choices!A:A,0)+11),INDEX(choices!D:D,MATCH(M6,choices!A:A,0)+11),""),IF(M6=INDEX(choices!A:A,MATCH(M6,choices!A:A,0)+11), "
",""),IF(M6=INDEX(choices!A:A,MATCH(M6,choices!A:A,0)+12),INDEX(choices!D:D,MATCH(M6,choices!A:A,0)+12),""),IF(M6=INDEX(choices!A:A,MATCH(M6,choices!A:A,0)+12), "
",""),IF(M6=INDEX(choices!A:A,MATCH(M6,choices!A:A,0)+13),INDEX(choices!D:D,MATCH(M6,choices!A:A,0)+13),""),IF(M6=INDEX(choices!A:A,MATCH(M6,choices!A:A,0)+13), "
",""),IF(M6=INDEX(choices!A:A,MATCH(M6,choices!A:A,0)+14),INDEX(choices!D:D,MATCH(M6,choices!A:A,0)+14),""),IF(M6=INDEX(choices!A:A,MATCH(M6,choices!A:A,0)+14), "
",""),IF(M6=INDEX(choices!A:A,MATCH(M6,choices!A:A,0)+15),INDEX(choices!D:D,MATCH(M6,choices!A:A,0)+15),""),IF(M6=INDEX(choices!A:A,MATCH(M6,choices!A:A,0)+15), "
",""),IF(M6=INDEX(choices!A:A,MATCH(M6,choices!A:A,0)+16),INDEX(choices!D:D,MATCH(M6,choices!A:A,0)+16),""),IF(M6=INDEX(choices!A:A,MATCH(M6,choices!A:A,0)+16), "
",""),IF(M6=INDEX(choices!A:A,MATCH(M6,choices!A:A,0)+17),INDEX(choices!D:D,MATCH(M6,choices!A:A,0)+17),""),IF(M6=INDEX(choices!A:A,MATCH(M6,choices!A:A,0)+17), "
",""),IF(M6=INDEX(choices!A:A,MATCH(M6,choices!A:A,0)+18),INDEX(choices!D:D,MATCH(M6,choices!A:A,0)+18),""),IF(M6=INDEX(choices!A:A,MATCH(M6,choices!A:A,0)+18), "
",""),IF(M6=INDEX(choices!A:A,MATCH(M6,choices!A:A,0)+19),INDEX(choices!D:D,MATCH(M6,choices!A:A,0)+19),""),IF(M6=INDEX(choices!A:A,MATCH(M6,choices!A:A,0)+19), "
",""),IF(M6=INDEX(choices!A:A,MATCH(M6,choices!A:A,0)+20),INDEX(choices!D:D,MATCH(M6,choices!A:A,0)+20),""),IF(M6=INDEX(choices!A:A,MATCH(M6,choices!A:A,0)+20), "
",""))</f>
        <v xml:space="preserve">1. Yes
2. No
</v>
      </c>
      <c r="E6" s="48" t="s">
        <v>1000</v>
      </c>
      <c r="F6" s="48" t="str">
        <f>CONCATENATE("Hints: ",Q6, )</f>
        <v>Hints: تأجير أي أراضى للغير أو من الغير (بما فيها إيجار المشاركة)</v>
      </c>
      <c r="G6" s="67" t="str">
        <f>CONCATENATE(INDEX(choices!C:C,MATCH(M6,choices!A:A,0)),"
",IF(M6=INDEX(choices!A:A,MATCH(M6,choices!A:A,0)+1),INDEX(choices!C:C,MATCH(M6,choices!A:A,0)+1),""),IF(M6=INDEX(choices!A:A,MATCH(M6,choices!A:A,0)+1), "
",""),IF(M6=INDEX(choices!A:A,MATCH(M6,choices!A:A,0)+2),INDEX(choices!C:C,MATCH(M6,choices!A:A,0)+2),""),IF(M6=INDEX(choices!A:A,MATCH(M6,choices!A:A,0)+2), "
",""),IF(M6=INDEX(choices!A:A,MATCH(M6,choices!A:A,0)+3),INDEX(choices!C:C,MATCH(M6,choices!A:A,0)+3),""),IF(M6=INDEX(choices!A:A,MATCH(M6,choices!A:A,0)+3), "
",""),IF(M6=INDEX(choices!A:A,MATCH(M6,choices!A:A,0)+4),INDEX(choices!C:C,MATCH(M6,choices!A:A,0)+4),""),IF(M6=INDEX(choices!A:A,MATCH(M6,choices!A:A,0)+4), "
",""),IF(M6=INDEX(choices!A:A,MATCH(M6,choices!A:A,0)+5),INDEX(choices!C:C,MATCH(M6,choices!A:A,0)+5),""),IF(M6=INDEX(choices!A:A,MATCH(M6,choices!A:A,0)+5), "
",""),IF(M6=INDEX(choices!A:A,MATCH(M6,choices!A:A,0)+6),INDEX(choices!C:C,MATCH(M6,choices!A:A,0)+6),""),IF(M6=INDEX(choices!A:A,MATCH(M6,choices!A:A,0)+6), "
",""),IF(M6=INDEX(choices!A:A,MATCH(M6,choices!A:A,0)+7),INDEX(choices!C:C,MATCH(M6,choices!A:A,0)+7),""),IF(M6=INDEX(choices!A:A,MATCH(M6,choices!A:A,0)+7), "
",""),IF(M6=INDEX(choices!A:A,MATCH(M6,choices!A:A,0)+8),INDEX(choices!C:C,MATCH(M6,choices!A:A,0)+8),""),IF(M6=INDEX(choices!A:A,MATCH(M6,choices!A:A,0)+8), "
",""),IF(M6=INDEX(choices!A:A,MATCH(M6,choices!A:A,0)+9),INDEX(choices!C:C,MATCH(M6,choices!A:A,0)+9),""),IF(M6=INDEX(choices!A:A,MATCH(M6,choices!A:A,0)+9), "
",""),IF(M6=INDEX(choices!A:A,MATCH(M6,choices!A:A,0)+10),INDEX(choices!C:C,MATCH(M6,choices!A:A,0)+10),""),IF(M6=INDEX(choices!A:A,MATCH(M6,choices!A:A,0)+10), "
",""),IF(M6=INDEX(choices!A:A,MATCH(M6,choices!A:A,0)+11),INDEX(choices!C:C,MATCH(M6,choices!A:A,0)+11),""),IF(M6=INDEX(choices!A:A,MATCH(M6,choices!A:A,0)+11), "
",""),IF(M6=INDEX(choices!A:A,MATCH(M6,choices!A:A,0)+12),INDEX(choices!C:C,MATCH(M6,choices!A:A,0)+12),""),IF(M6=INDEX(choices!A:A,MATCH(M6,choices!A:A,0)+12), "
",""),IF(M6=INDEX(choices!A:A,MATCH(M6,choices!A:A,0)+13),INDEX(choices!C:C,MATCH(M6,choices!A:A,0)+13),""),IF(M6=INDEX(choices!A:A,MATCH(M6,choices!A:A,0)+13), "
",""),IF(M6=INDEX(choices!A:A,MATCH(M6,choices!A:A,0)+14),INDEX(choices!C:C,MATCH(M6,choices!A:A,0)+14),""),IF(M6=INDEX(choices!A:A,MATCH(M6,choices!A:A,0)+14), "
",""),IF(M6=INDEX(choices!A:A,MATCH(M6,choices!A:A,0)+15),INDEX(choices!C:C,MATCH(M6,choices!A:A,0)+15),""),IF(M6=INDEX(choices!A:A,MATCH(M6,choices!A:A,0)+15), "
",""),IF(M6=INDEX(choices!A:A,MATCH(M6,choices!A:A,0)+16),INDEX(choices!C:C,MATCH(M6,choices!A:A,0)+16),""),IF(M6=INDEX(choices!A:A,MATCH(M6,choices!A:A,0)+16), "
",""),IF(M6=INDEX(choices!A:A,MATCH(M6,choices!A:A,0)+17),INDEX(choices!C:C,MATCH(M6,choices!A:A,0)+17),""),IF(M6=INDEX(choices!A:A,MATCH(M6,choices!A:A,0)+17), "
",""),IF(M6=INDEX(choices!A:A,MATCH(M6,choices!A:A,0)+18),INDEX(choices!C:C,MATCH(M6,choices!A:A,0)+18),""),IF(M6=INDEX(choices!A:A,MATCH(M6,choices!A:A,0)+18), "
",""),IF(M6=INDEX(choices!A:A,MATCH(M6,choices!A:A,0)+19),INDEX(choices!C:C,MATCH(M6,choices!A:A,0)+19),""),IF(M6=INDEX(choices!A:A,MATCH(M6,choices!A:A,0)+19), "
",""),IF(M6=INDEX(choices!A:A,MATCH(M6,choices!A:A,0)+20),INDEX(choices!C:C,MATCH(M6,choices!A:A,0)+20),""),IF(M6=INDEX(choices!A:A,MATCH(M6,choices!A:A,0)+20), "
","")," ")</f>
        <v xml:space="preserve">1. نعم
2. لا
 </v>
      </c>
      <c r="H6" s="200" t="s">
        <v>447</v>
      </c>
      <c r="I6" s="16">
        <v>16101</v>
      </c>
      <c r="L6" s="19" t="s">
        <v>18</v>
      </c>
      <c r="M6" s="14" t="s">
        <v>17</v>
      </c>
      <c r="N6" s="19" t="str">
        <f>CONCATENATE("q",$I6)</f>
        <v>q16101</v>
      </c>
      <c r="O6" s="48" t="str">
        <f>CONCATENATE(I6, ". ", E6)</f>
        <v>16101. هل يمتلك أو يستأجر أي من أفراد الأسرة أي أراضي زراعية (تشمل أراضي خارج هذه المنطقة)؟</v>
      </c>
      <c r="P6" s="31" t="str">
        <f>CONCATENATE(I6, ". ", B6)</f>
        <v>16101. Does any member of the household own or rent any land (including land outside this area)?</v>
      </c>
      <c r="Q6" s="31" t="s">
        <v>1276</v>
      </c>
      <c r="R6" s="31" t="s">
        <v>941</v>
      </c>
      <c r="S6" s="117" t="s">
        <v>587</v>
      </c>
      <c r="T6" s="188"/>
      <c r="U6" s="188"/>
      <c r="V6" s="16"/>
      <c r="W6" s="16"/>
      <c r="X6" s="16"/>
      <c r="Y6" s="1"/>
    </row>
    <row r="7" spans="1:30" s="19" customFormat="1">
      <c r="B7" s="31"/>
      <c r="C7" s="31"/>
      <c r="D7" s="181"/>
      <c r="E7" s="48"/>
      <c r="F7" s="48"/>
      <c r="G7" s="31"/>
      <c r="H7" s="200"/>
      <c r="I7" s="16"/>
      <c r="J7" s="88" t="s">
        <v>23</v>
      </c>
      <c r="K7" s="19" t="str">
        <f>CONCATENATE("selected(data('",N6,"'),'1')")</f>
        <v>selected(data('q16101'),'1')</v>
      </c>
      <c r="M7" s="14"/>
      <c r="O7" s="48"/>
      <c r="P7" s="31"/>
      <c r="Q7" s="48"/>
      <c r="R7" s="31"/>
      <c r="S7" s="31"/>
      <c r="T7" s="31"/>
      <c r="U7" s="31"/>
      <c r="V7" s="16"/>
      <c r="W7" s="16"/>
      <c r="X7" s="16"/>
    </row>
    <row r="8" spans="1:30" ht="60">
      <c r="A8" s="19" t="str">
        <f>CONCATENATE("q",$I8)</f>
        <v>q16102</v>
      </c>
      <c r="B8" s="31" t="s">
        <v>462</v>
      </c>
      <c r="C8" s="31"/>
      <c r="D8" s="127" t="str">
        <f>CONCATENATE(INDEX(choices!D:D,MATCH(M8,choices!A:A,0)),"
",IF(M8=INDEX(choices!A:A,MATCH(M8,choices!A:A,0)+1),INDEX(choices!D:D,MATCH(M8,choices!A:A,0)+1),""),IF(M8=INDEX(choices!A:A,MATCH(M8,choices!A:A,0)+1), "
",""),IF(M8=INDEX(choices!A:A,MATCH(M8,choices!A:A,0)+2),INDEX(choices!D:D,MATCH(M8,choices!A:A,0)+2),""),IF(M8=INDEX(choices!A:A,MATCH(M8,choices!A:A,0)+2), "
",""),IF(M8=INDEX(choices!A:A,MATCH(M8,choices!A:A,0)+3),INDEX(choices!D:D,MATCH(M8,choices!A:A,0)+3),""),IF(M8=INDEX(choices!A:A,MATCH(M8,choices!A:A,0)+3), "
",""),IF(M8=INDEX(choices!A:A,MATCH(M8,choices!A:A,0)+4),INDEX(choices!D:D,MATCH(M8,choices!A:A,0)+4),""),IF(M8=INDEX(choices!A:A,MATCH(M8,choices!A:A,0)+4), "
",""),IF(M8=INDEX(choices!A:A,MATCH(M8,choices!A:A,0)+5),INDEX(choices!D:D,MATCH(M8,choices!A:A,0)+5),""),IF(M8=INDEX(choices!A:A,MATCH(M8,choices!A:A,0)+5), "
",""),IF(M8=INDEX(choices!A:A,MATCH(M8,choices!A:A,0)+6),INDEX(choices!D:D,MATCH(M8,choices!A:A,0)+6),""),IF(M8=INDEX(choices!A:A,MATCH(M8,choices!A:A,0)+6), "
",""),IF(M8=INDEX(choices!A:A,MATCH(M8,choices!A:A,0)+7),INDEX(choices!D:D,MATCH(M8,choices!A:A,0)+7),""),IF(M8=INDEX(choices!A:A,MATCH(M8,choices!A:A,0)+7), "
",""),IF(M8=INDEX(choices!A:A,MATCH(M8,choices!A:A,0)+8),INDEX(choices!D:D,MATCH(M8,choices!A:A,0)+8),""),IF(M8=INDEX(choices!A:A,MATCH(M8,choices!A:A,0)+8), "
",""),IF(M8=INDEX(choices!A:A,MATCH(M8,choices!A:A,0)+9),INDEX(choices!D:D,MATCH(M8,choices!A:A,0)+9),""),IF(M8=INDEX(choices!A:A,MATCH(M8,choices!A:A,0)+9), "
",""),IF(M8=INDEX(choices!A:A,MATCH(M8,choices!A:A,0)+10),INDEX(choices!D:D,MATCH(M8,choices!A:A,0)+10),""),IF(M8=INDEX(choices!A:A,MATCH(M8,choices!A:A,0)+10), "
",""),IF(M8=INDEX(choices!A:A,MATCH(M8,choices!A:A,0)+11),INDEX(choices!D:D,MATCH(M8,choices!A:A,0)+11),""),IF(M8=INDEX(choices!A:A,MATCH(M8,choices!A:A,0)+11), "
",""),IF(M8=INDEX(choices!A:A,MATCH(M8,choices!A:A,0)+12),INDEX(choices!D:D,MATCH(M8,choices!A:A,0)+12),""),IF(M8=INDEX(choices!A:A,MATCH(M8,choices!A:A,0)+12), "
",""),IF(M8=INDEX(choices!A:A,MATCH(M8,choices!A:A,0)+13),INDEX(choices!D:D,MATCH(M8,choices!A:A,0)+13),""),IF(M8=INDEX(choices!A:A,MATCH(M8,choices!A:A,0)+13), "
",""),IF(M8=INDEX(choices!A:A,MATCH(M8,choices!A:A,0)+14),INDEX(choices!D:D,MATCH(M8,choices!A:A,0)+14),""),IF(M8=INDEX(choices!A:A,MATCH(M8,choices!A:A,0)+14), "
",""),IF(M8=INDEX(choices!A:A,MATCH(M8,choices!A:A,0)+15),INDEX(choices!D:D,MATCH(M8,choices!A:A,0)+15),""),IF(M8=INDEX(choices!A:A,MATCH(M8,choices!A:A,0)+15), "
",""),IF(M8=INDEX(choices!A:A,MATCH(M8,choices!A:A,0)+16),INDEX(choices!D:D,MATCH(M8,choices!A:A,0)+16),""),IF(M8=INDEX(choices!A:A,MATCH(M8,choices!A:A,0)+16), "
",""),IF(M8=INDEX(choices!A:A,MATCH(M8,choices!A:A,0)+17),INDEX(choices!D:D,MATCH(M8,choices!A:A,0)+17),""),IF(M8=INDEX(choices!A:A,MATCH(M8,choices!A:A,0)+17), "
",""),IF(M8=INDEX(choices!A:A,MATCH(M8,choices!A:A,0)+18),INDEX(choices!D:D,MATCH(M8,choices!A:A,0)+18),""),IF(M8=INDEX(choices!A:A,MATCH(M8,choices!A:A,0)+18), "
",""),IF(M8=INDEX(choices!A:A,MATCH(M8,choices!A:A,0)+19),INDEX(choices!D:D,MATCH(M8,choices!A:A,0)+19),""),IF(M8=INDEX(choices!A:A,MATCH(M8,choices!A:A,0)+19), "
",""),IF(M8=INDEX(choices!A:A,MATCH(M8,choices!A:A,0)+20),INDEX(choices!D:D,MATCH(M8,choices!A:A,0)+20),""),IF(M8=INDEX(choices!A:A,MATCH(M8,choices!A:A,0)+20), "
",""))</f>
        <v xml:space="preserve">1. Yes
2. No
</v>
      </c>
      <c r="E8" s="48" t="s">
        <v>1001</v>
      </c>
      <c r="G8" s="67" t="str">
        <f>CONCATENATE(INDEX(choices!C:C,MATCH(M8,choices!A:A,0)),"
",IF(M8=INDEX(choices!A:A,MATCH(M8,choices!A:A,0)+1),INDEX(choices!C:C,MATCH(M8,choices!A:A,0)+1),""),IF(M8=INDEX(choices!A:A,MATCH(M8,choices!A:A,0)+1), "
",""),IF(M8=INDEX(choices!A:A,MATCH(M8,choices!A:A,0)+2),INDEX(choices!C:C,MATCH(M8,choices!A:A,0)+2),""),IF(M8=INDEX(choices!A:A,MATCH(M8,choices!A:A,0)+2), "
",""),IF(M8=INDEX(choices!A:A,MATCH(M8,choices!A:A,0)+3),INDEX(choices!C:C,MATCH(M8,choices!A:A,0)+3),""),IF(M8=INDEX(choices!A:A,MATCH(M8,choices!A:A,0)+3), "
",""),IF(M8=INDEX(choices!A:A,MATCH(M8,choices!A:A,0)+4),INDEX(choices!C:C,MATCH(M8,choices!A:A,0)+4),""),IF(M8=INDEX(choices!A:A,MATCH(M8,choices!A:A,0)+4), "
",""),IF(M8=INDEX(choices!A:A,MATCH(M8,choices!A:A,0)+5),INDEX(choices!C:C,MATCH(M8,choices!A:A,0)+5),""),IF(M8=INDEX(choices!A:A,MATCH(M8,choices!A:A,0)+5), "
",""),IF(M8=INDEX(choices!A:A,MATCH(M8,choices!A:A,0)+6),INDEX(choices!C:C,MATCH(M8,choices!A:A,0)+6),""),IF(M8=INDEX(choices!A:A,MATCH(M8,choices!A:A,0)+6), "
",""),IF(M8=INDEX(choices!A:A,MATCH(M8,choices!A:A,0)+7),INDEX(choices!C:C,MATCH(M8,choices!A:A,0)+7),""),IF(M8=INDEX(choices!A:A,MATCH(M8,choices!A:A,0)+7), "
",""),IF(M8=INDEX(choices!A:A,MATCH(M8,choices!A:A,0)+8),INDEX(choices!C:C,MATCH(M8,choices!A:A,0)+8),""),IF(M8=INDEX(choices!A:A,MATCH(M8,choices!A:A,0)+8), "
",""),IF(M8=INDEX(choices!A:A,MATCH(M8,choices!A:A,0)+9),INDEX(choices!C:C,MATCH(M8,choices!A:A,0)+9),""),IF(M8=INDEX(choices!A:A,MATCH(M8,choices!A:A,0)+9), "
",""),IF(M8=INDEX(choices!A:A,MATCH(M8,choices!A:A,0)+10),INDEX(choices!C:C,MATCH(M8,choices!A:A,0)+10),""),IF(M8=INDEX(choices!A:A,MATCH(M8,choices!A:A,0)+10), "
",""),IF(M8=INDEX(choices!A:A,MATCH(M8,choices!A:A,0)+11),INDEX(choices!C:C,MATCH(M8,choices!A:A,0)+11),""),IF(M8=INDEX(choices!A:A,MATCH(M8,choices!A:A,0)+11), "
",""),IF(M8=INDEX(choices!A:A,MATCH(M8,choices!A:A,0)+12),INDEX(choices!C:C,MATCH(M8,choices!A:A,0)+12),""),IF(M8=INDEX(choices!A:A,MATCH(M8,choices!A:A,0)+12), "
",""),IF(M8=INDEX(choices!A:A,MATCH(M8,choices!A:A,0)+13),INDEX(choices!C:C,MATCH(M8,choices!A:A,0)+13),""),IF(M8=INDEX(choices!A:A,MATCH(M8,choices!A:A,0)+13), "
",""),IF(M8=INDEX(choices!A:A,MATCH(M8,choices!A:A,0)+14),INDEX(choices!C:C,MATCH(M8,choices!A:A,0)+14),""),IF(M8=INDEX(choices!A:A,MATCH(M8,choices!A:A,0)+14), "
",""),IF(M8=INDEX(choices!A:A,MATCH(M8,choices!A:A,0)+15),INDEX(choices!C:C,MATCH(M8,choices!A:A,0)+15),""),IF(M8=INDEX(choices!A:A,MATCH(M8,choices!A:A,0)+15), "
",""),IF(M8=INDEX(choices!A:A,MATCH(M8,choices!A:A,0)+16),INDEX(choices!C:C,MATCH(M8,choices!A:A,0)+16),""),IF(M8=INDEX(choices!A:A,MATCH(M8,choices!A:A,0)+16), "
",""),IF(M8=INDEX(choices!A:A,MATCH(M8,choices!A:A,0)+17),INDEX(choices!C:C,MATCH(M8,choices!A:A,0)+17),""),IF(M8=INDEX(choices!A:A,MATCH(M8,choices!A:A,0)+17), "
",""),IF(M8=INDEX(choices!A:A,MATCH(M8,choices!A:A,0)+18),INDEX(choices!C:C,MATCH(M8,choices!A:A,0)+18),""),IF(M8=INDEX(choices!A:A,MATCH(M8,choices!A:A,0)+18), "
",""),IF(M8=INDEX(choices!A:A,MATCH(M8,choices!A:A,0)+19),INDEX(choices!C:C,MATCH(M8,choices!A:A,0)+19),""),IF(M8=INDEX(choices!A:A,MATCH(M8,choices!A:A,0)+19), "
",""),IF(M8=INDEX(choices!A:A,MATCH(M8,choices!A:A,0)+20),INDEX(choices!C:C,MATCH(M8,choices!A:A,0)+20),""),IF(M8=INDEX(choices!A:A,MATCH(M8,choices!A:A,0)+20), "
","")," ")</f>
        <v xml:space="preserve">1. نعم
2. لا
 </v>
      </c>
      <c r="H8" s="164" t="str">
        <f>CONCATENATE(" 2 ---&gt;",I65)</f>
        <v xml:space="preserve"> 2 ---&gt;16115</v>
      </c>
      <c r="I8" s="1">
        <f>I6+1</f>
        <v>16102</v>
      </c>
      <c r="J8" s="135"/>
      <c r="L8" s="19" t="s">
        <v>18</v>
      </c>
      <c r="M8" s="1" t="s">
        <v>17</v>
      </c>
      <c r="N8" s="19" t="str">
        <f>CONCATENATE("q",I8)</f>
        <v>q16102</v>
      </c>
      <c r="O8" s="48" t="str">
        <f>CONCATENATE(I8, ". ", E8)</f>
        <v>16102. هل يمتلك أي من أفراد الأسرة أي أراضي زراعية؟</v>
      </c>
      <c r="P8" s="31" t="str">
        <f>CONCATENATE(I8, ". ", B8)</f>
        <v>16102. Does any member of the household own any land?</v>
      </c>
      <c r="S8" s="28" t="str">
        <f>CONCATENATE(K7, " &amp;&amp; ", $S$6)</f>
        <v>selected(data('q16101'),'1') &amp;&amp; data('valid_overall') == 1</v>
      </c>
      <c r="Y8" s="1" t="b">
        <v>1</v>
      </c>
    </row>
    <row r="9" spans="1:30">
      <c r="A9" s="19"/>
      <c r="B9" s="31"/>
      <c r="C9" s="31"/>
      <c r="D9" s="127"/>
      <c r="G9" s="67"/>
      <c r="H9" s="164"/>
      <c r="J9" s="135" t="s">
        <v>24</v>
      </c>
      <c r="L9" s="19"/>
      <c r="N9" s="19"/>
      <c r="O9" s="48"/>
      <c r="P9" s="31"/>
    </row>
    <row r="10" spans="1:30">
      <c r="B10" s="31"/>
      <c r="C10" s="31"/>
      <c r="D10" s="181"/>
      <c r="G10" s="31"/>
      <c r="H10" s="77"/>
      <c r="J10" s="135" t="s">
        <v>23</v>
      </c>
      <c r="K10" s="1" t="str">
        <f>CONCATENATE("selected(data('",N8,"'),'1') &amp;&amp; ", K7)</f>
        <v>selected(data('q16102'),'1') &amp;&amp; selected(data('q16101'),'1')</v>
      </c>
      <c r="L10" s="19"/>
      <c r="N10" s="19"/>
      <c r="O10" s="48"/>
      <c r="P10" s="31"/>
    </row>
    <row r="11" spans="1:30" s="64" customFormat="1" ht="105">
      <c r="A11" s="19" t="str">
        <f>CONCATENATE("q",$I11)</f>
        <v>q16103</v>
      </c>
      <c r="B11" s="31" t="s">
        <v>461</v>
      </c>
      <c r="C11" s="48" t="str">
        <f>CONCATENATE("Hints: ", R11)</f>
        <v>Hints: Write 99 if 100+</v>
      </c>
      <c r="D11" s="201"/>
      <c r="E11" s="294" t="s">
        <v>1002</v>
      </c>
      <c r="F11" s="48" t="str">
        <f>CONCATENATE("Hints: ",Q11, )</f>
        <v>Hints: سجل 99 إذا كان العدد 100+</v>
      </c>
      <c r="G11" s="31"/>
      <c r="H11" s="181"/>
      <c r="I11" s="64">
        <f>I8+1</f>
        <v>16103</v>
      </c>
      <c r="J11" s="88"/>
      <c r="L11" s="19" t="s">
        <v>460</v>
      </c>
      <c r="N11" s="19" t="str">
        <f>CONCATENATE("q",I11)</f>
        <v>q16103</v>
      </c>
      <c r="O11" s="312" t="str">
        <f>CONCATENATE(I11, ". ", E11)</f>
        <v>16103. كم عدد قطع الاراضي التي تمتلكها الأسرة؟</v>
      </c>
      <c r="P11" s="117" t="str">
        <f>CONCATENATE(I11, ". ", B11)</f>
        <v>16103. How many plots of land does the household own?</v>
      </c>
      <c r="Q11" s="31" t="s">
        <v>1016</v>
      </c>
      <c r="R11" s="190" t="s">
        <v>1017</v>
      </c>
      <c r="S11" s="31" t="str">
        <f>CONCATENATE($K$10, " &amp;&amp; ", $S$6)</f>
        <v>selected(data('q16102'),'1') &amp;&amp; selected(data('q16101'),'1') &amp;&amp; data('valid_overall') == 1</v>
      </c>
      <c r="T11" s="190"/>
      <c r="U11" s="190"/>
      <c r="V11" s="117" t="str">
        <f>CONCATENATE("(data('",N11,"') &gt;= 1 &amp;&amp; data('",N11,"') &lt;= 99) || data('valid_overall') == 0 || selected(data('",N6,"'), '2') || selected(data('",N8,"'), '2')")</f>
        <v>(data('q16103') &gt;= 1 &amp;&amp; data('q16103') &lt;= 99) || data('valid_overall') == 0 || selected(data('q16101'), '2') || selected(data('q16102'), '2')</v>
      </c>
      <c r="W11" s="63" t="s">
        <v>1018</v>
      </c>
      <c r="X11" s="117" t="s">
        <v>459</v>
      </c>
      <c r="Y11" s="64" t="b">
        <v>1</v>
      </c>
    </row>
    <row r="12" spans="1:30" s="64" customFormat="1">
      <c r="B12" s="31"/>
      <c r="C12" s="31"/>
      <c r="D12" s="181"/>
      <c r="E12" s="48"/>
      <c r="F12" s="48"/>
      <c r="G12" s="31"/>
      <c r="H12" s="181"/>
      <c r="J12" s="22" t="s">
        <v>20</v>
      </c>
      <c r="L12" s="19"/>
      <c r="N12" s="19"/>
      <c r="O12" s="48"/>
      <c r="P12" s="31"/>
      <c r="Q12" s="48"/>
      <c r="R12" s="31"/>
      <c r="S12" s="31"/>
      <c r="T12" s="31"/>
      <c r="U12" s="31"/>
    </row>
    <row r="13" spans="1:30" s="64" customFormat="1" ht="135">
      <c r="B13" s="30" t="s">
        <v>458</v>
      </c>
      <c r="C13" s="30"/>
      <c r="D13" s="181"/>
      <c r="E13" s="294" t="s">
        <v>1003</v>
      </c>
      <c r="F13" s="294"/>
      <c r="G13" s="31"/>
      <c r="H13" s="181"/>
      <c r="J13" s="66"/>
      <c r="L13" s="19" t="s">
        <v>22</v>
      </c>
      <c r="N13" s="19"/>
      <c r="O13" s="48" t="str">
        <f>E13</f>
        <v xml:space="preserve">للباحث:  يمكن تجميع كل الأراضي المملوكة في بند واحد والأراضي المستأجرة في بند آخر. تعتبر الأراضي التي تقوم الأسرة بتأجيرها للغير جزء من الأراضي المملوكة
</v>
      </c>
      <c r="P13" s="31" t="str">
        <f>B13</f>
        <v>Interviewer: Aggregate owned lands in one item. Rented land (to others) is considered part of owned land.</v>
      </c>
      <c r="Q13" s="236"/>
      <c r="R13" s="165"/>
      <c r="S13" s="31"/>
      <c r="T13" s="165"/>
      <c r="U13" s="165"/>
      <c r="Y13" s="64" t="b">
        <v>1</v>
      </c>
    </row>
    <row r="14" spans="1:30" s="64" customFormat="1" ht="45">
      <c r="B14" s="31" t="s">
        <v>457</v>
      </c>
      <c r="C14" s="48" t="str">
        <f>CONCATENATE("Hints: ", R14)</f>
        <v xml:space="preserve">Hints: </v>
      </c>
      <c r="D14" s="201"/>
      <c r="E14" s="48" t="s">
        <v>1004</v>
      </c>
      <c r="F14" s="48" t="str">
        <f>CONCATENATE("Hints: ",Q14, )</f>
        <v xml:space="preserve">Hints: </v>
      </c>
      <c r="G14" s="31"/>
      <c r="H14" s="181"/>
      <c r="I14" s="64">
        <f>I11+1</f>
        <v>16104</v>
      </c>
      <c r="J14" s="66"/>
      <c r="L14" s="19" t="s">
        <v>22</v>
      </c>
      <c r="N14" s="19"/>
      <c r="O14" s="312" t="str">
        <f>E14</f>
        <v>ما إجمالي مساحة الأراضى المملوكة؟</v>
      </c>
      <c r="P14" s="117" t="str">
        <f>B14</f>
        <v>How large is the land owned by the household?</v>
      </c>
      <c r="Q14" s="50"/>
      <c r="R14" s="300"/>
      <c r="S14" s="50"/>
      <c r="T14" s="183"/>
      <c r="U14" s="183"/>
      <c r="V14" s="181"/>
      <c r="W14" s="45"/>
      <c r="X14" s="45"/>
      <c r="Y14" s="64" t="b">
        <v>1</v>
      </c>
    </row>
    <row r="15" spans="1:30" s="64" customFormat="1" ht="135">
      <c r="A15" s="19" t="str">
        <f>CONCATENATE("q",$I15)</f>
        <v>q16104_1</v>
      </c>
      <c r="B15" s="31" t="s">
        <v>445</v>
      </c>
      <c r="C15" s="31"/>
      <c r="D15" s="181"/>
      <c r="E15" s="48" t="s">
        <v>750</v>
      </c>
      <c r="F15" s="48"/>
      <c r="G15" s="31"/>
      <c r="H15" s="181"/>
      <c r="I15" s="19" t="str">
        <f>CONCATENATE(I14,"_1")</f>
        <v>16104_1</v>
      </c>
      <c r="J15" s="66"/>
      <c r="L15" s="19" t="s">
        <v>443</v>
      </c>
      <c r="N15" s="19" t="str">
        <f>CONCATENATE("q",I15)</f>
        <v>q16104_1</v>
      </c>
      <c r="O15" s="48" t="str">
        <f>CONCATENATE(I15, ". ", E15)</f>
        <v>16104_1. قيراط</v>
      </c>
      <c r="P15" s="31" t="str">
        <f>CONCATENATE(I15, ". ", B15)</f>
        <v>16104_1. Kirat</v>
      </c>
      <c r="Q15" s="455" t="s">
        <v>1488</v>
      </c>
      <c r="R15" s="300" t="s">
        <v>1489</v>
      </c>
      <c r="S15" s="28" t="str">
        <f>CONCATENATE($K$10, " &amp;&amp; ", $S$6 )</f>
        <v>selected(data('q16102'),'1') &amp;&amp; selected(data('q16101'),'1') &amp;&amp; data('valid_overall') == 1</v>
      </c>
      <c r="T15" s="183"/>
      <c r="U15" s="183"/>
      <c r="V15" s="28" t="str">
        <f>CONCATENATE("((data('",N15,"')&gt;=0 &amp; data('",N15,"')&lt;=23) || data('",N15,"')==999998) || data('valid_overall') == 0 || selected(data('",N6,"'), '2') || selected(data('",N8,"'), '2')")</f>
        <v>((data('q16104_1')&gt;=0 &amp; data('q16104_1')&lt;=23) || data('q16104_1')==999998) || data('valid_overall') == 0 || selected(data('q16101'), '2') || selected(data('q16102'), '2')</v>
      </c>
      <c r="W15" s="455"/>
      <c r="X15" s="300"/>
      <c r="Y15" s="183" t="b">
        <v>1</v>
      </c>
      <c r="AA15" s="183"/>
      <c r="AB15" s="183"/>
      <c r="AC15" s="181"/>
      <c r="AD15" s="183"/>
    </row>
    <row r="16" spans="1:30" s="64" customFormat="1" ht="45">
      <c r="A16" s="19" t="str">
        <f>CONCATENATE("q",$I16)</f>
        <v>q16104_2</v>
      </c>
      <c r="B16" s="31" t="s">
        <v>444</v>
      </c>
      <c r="C16" s="31"/>
      <c r="D16" s="181"/>
      <c r="E16" s="48" t="s">
        <v>749</v>
      </c>
      <c r="F16" s="48"/>
      <c r="G16" s="31"/>
      <c r="H16" s="181"/>
      <c r="I16" s="19" t="str">
        <f>CONCATENATE(I14,"_2")</f>
        <v>16104_2</v>
      </c>
      <c r="J16" s="66"/>
      <c r="L16" s="19" t="s">
        <v>443</v>
      </c>
      <c r="N16" s="19" t="str">
        <f>CONCATENATE("q",I16)</f>
        <v>q16104_2</v>
      </c>
      <c r="O16" s="48" t="str">
        <f>CONCATENATE(I16, ". ", E16)</f>
        <v>16104_2. فدان</v>
      </c>
      <c r="P16" s="31" t="str">
        <f>CONCATENATE(I16, ". ", B16)</f>
        <v>16104_2. Fedan</v>
      </c>
      <c r="Q16" s="50" t="s">
        <v>1490</v>
      </c>
      <c r="R16" s="300" t="s">
        <v>1491</v>
      </c>
      <c r="S16" s="28" t="str">
        <f>CONCATENATE($K$10, " &amp;&amp; ", $S$6 )</f>
        <v>selected(data('q16102'),'1') &amp;&amp; selected(data('q16101'),'1') &amp;&amp; data('valid_overall') == 1</v>
      </c>
      <c r="T16" s="183"/>
      <c r="U16" s="183"/>
      <c r="V16" s="28"/>
      <c r="W16" s="50"/>
      <c r="X16" s="300"/>
      <c r="Y16" s="183" t="b">
        <v>1</v>
      </c>
      <c r="AA16" s="183"/>
      <c r="AB16" s="183"/>
      <c r="AC16" s="181"/>
      <c r="AD16" s="183"/>
    </row>
    <row r="17" spans="1:25" s="64" customFormat="1">
      <c r="B17" s="31"/>
      <c r="C17" s="31"/>
      <c r="D17" s="181"/>
      <c r="E17" s="48"/>
      <c r="F17" s="48"/>
      <c r="G17" s="31"/>
      <c r="H17" s="181"/>
      <c r="J17" s="22" t="s">
        <v>21</v>
      </c>
      <c r="L17" s="19"/>
      <c r="N17" s="19"/>
      <c r="O17" s="48"/>
      <c r="P17" s="31"/>
      <c r="Q17" s="48"/>
      <c r="R17" s="31"/>
      <c r="S17" s="31"/>
      <c r="T17" s="31"/>
      <c r="U17" s="31"/>
    </row>
    <row r="18" spans="1:25" s="64" customFormat="1" ht="42" customHeight="1">
      <c r="A18" s="19" t="str">
        <f>CONCATENATE("q",$I18)</f>
        <v>q16105</v>
      </c>
      <c r="B18" s="31" t="s">
        <v>456</v>
      </c>
      <c r="C18" s="31"/>
      <c r="D18" s="127" t="str">
        <f>CONCATENATE(INDEX(choices!D:D,MATCH(M18,choices!A:A,0)),"
",IF(M18=INDEX(choices!A:A,MATCH(M18,choices!A:A,0)+1),INDEX(choices!D:D,MATCH(M18,choices!A:A,0)+1),""),IF(M18=INDEX(choices!A:A,MATCH(M18,choices!A:A,0)+1), "
",""),IF(M18=INDEX(choices!A:A,MATCH(M18,choices!A:A,0)+2),INDEX(choices!D:D,MATCH(M18,choices!A:A,0)+2),""),IF(M18=INDEX(choices!A:A,MATCH(M18,choices!A:A,0)+2), "
",""),IF(M18=INDEX(choices!A:A,MATCH(M18,choices!A:A,0)+3),INDEX(choices!D:D,MATCH(M18,choices!A:A,0)+3),""),IF(M18=INDEX(choices!A:A,MATCH(M18,choices!A:A,0)+3), "
",""),IF(M18=INDEX(choices!A:A,MATCH(M18,choices!A:A,0)+4),INDEX(choices!D:D,MATCH(M18,choices!A:A,0)+4),""),IF(M18=INDEX(choices!A:A,MATCH(M18,choices!A:A,0)+4), "
",""),IF(M18=INDEX(choices!A:A,MATCH(M18,choices!A:A,0)+5),INDEX(choices!D:D,MATCH(M18,choices!A:A,0)+5),""),IF(M18=INDEX(choices!A:A,MATCH(M18,choices!A:A,0)+5), "
",""),IF(M18=INDEX(choices!A:A,MATCH(M18,choices!A:A,0)+6),INDEX(choices!D:D,MATCH(M18,choices!A:A,0)+6),""),IF(M18=INDEX(choices!A:A,MATCH(M18,choices!A:A,0)+6), "
",""),IF(M18=INDEX(choices!A:A,MATCH(M18,choices!A:A,0)+7),INDEX(choices!D:D,MATCH(M18,choices!A:A,0)+7),""),IF(M18=INDEX(choices!A:A,MATCH(M18,choices!A:A,0)+7), "
",""),IF(M18=INDEX(choices!A:A,MATCH(M18,choices!A:A,0)+8),INDEX(choices!D:D,MATCH(M18,choices!A:A,0)+8),""),IF(M18=INDEX(choices!A:A,MATCH(M18,choices!A:A,0)+8), "
",""),IF(M18=INDEX(choices!A:A,MATCH(M18,choices!A:A,0)+9),INDEX(choices!D:D,MATCH(M18,choices!A:A,0)+9),""),IF(M18=INDEX(choices!A:A,MATCH(M18,choices!A:A,0)+9), "
",""),IF(M18=INDEX(choices!A:A,MATCH(M18,choices!A:A,0)+10),INDEX(choices!D:D,MATCH(M18,choices!A:A,0)+10),""),IF(M18=INDEX(choices!A:A,MATCH(M18,choices!A:A,0)+10), "
",""),IF(M18=INDEX(choices!A:A,MATCH(M18,choices!A:A,0)+11),INDEX(choices!D:D,MATCH(M18,choices!A:A,0)+11),""),IF(M18=INDEX(choices!A:A,MATCH(M18,choices!A:A,0)+11), "
",""),IF(M18=INDEX(choices!A:A,MATCH(M18,choices!A:A,0)+12),INDEX(choices!D:D,MATCH(M18,choices!A:A,0)+12),""),IF(M18=INDEX(choices!A:A,MATCH(M18,choices!A:A,0)+12), "
",""),IF(M18=INDEX(choices!A:A,MATCH(M18,choices!A:A,0)+13),INDEX(choices!D:D,MATCH(M18,choices!A:A,0)+13),""),IF(M18=INDEX(choices!A:A,MATCH(M18,choices!A:A,0)+13), "
",""),IF(M18=INDEX(choices!A:A,MATCH(M18,choices!A:A,0)+14),INDEX(choices!D:D,MATCH(M18,choices!A:A,0)+14),""),IF(M18=INDEX(choices!A:A,MATCH(M18,choices!A:A,0)+14), "
",""),IF(M18=INDEX(choices!A:A,MATCH(M18,choices!A:A,0)+15),INDEX(choices!D:D,MATCH(M18,choices!A:A,0)+15),""),IF(M18=INDEX(choices!A:A,MATCH(M18,choices!A:A,0)+15), "
",""),IF(M18=INDEX(choices!A:A,MATCH(M18,choices!A:A,0)+16),INDEX(choices!D:D,MATCH(M18,choices!A:A,0)+16),""),IF(M18=INDEX(choices!A:A,MATCH(M18,choices!A:A,0)+16), "
",""),IF(M18=INDEX(choices!A:A,MATCH(M18,choices!A:A,0)+17),INDEX(choices!D:D,MATCH(M18,choices!A:A,0)+17),""),IF(M18=INDEX(choices!A:A,MATCH(M18,choices!A:A,0)+17), "
",""),IF(M18=INDEX(choices!A:A,MATCH(M18,choices!A:A,0)+18),INDEX(choices!D:D,MATCH(M18,choices!A:A,0)+18),""),IF(M18=INDEX(choices!A:A,MATCH(M18,choices!A:A,0)+18), "
",""),IF(M18=INDEX(choices!A:A,MATCH(M18,choices!A:A,0)+19),INDEX(choices!D:D,MATCH(M18,choices!A:A,0)+19),""),IF(M18=INDEX(choices!A:A,MATCH(M18,choices!A:A,0)+19), "
",""),IF(M18=INDEX(choices!A:A,MATCH(M18,choices!A:A,0)+20),INDEX(choices!D:D,MATCH(M18,choices!A:A,0)+20),""),IF(M18=INDEX(choices!A:A,MATCH(M18,choices!A:A,0)+20), "
",""))</f>
        <v xml:space="preserve">1. Yes
2. No
</v>
      </c>
      <c r="E18" s="294" t="s">
        <v>1005</v>
      </c>
      <c r="F18" s="294"/>
      <c r="G18" s="67" t="str">
        <f>CONCATENATE(INDEX(choices!C:C,MATCH(M18,choices!A:A,0)),"
",IF(M18=INDEX(choices!A:A,MATCH(M18,choices!A:A,0)+1),INDEX(choices!C:C,MATCH(M18,choices!A:A,0)+1),""),IF(M18=INDEX(choices!A:A,MATCH(M18,choices!A:A,0)+1), "
",""),IF(M18=INDEX(choices!A:A,MATCH(M18,choices!A:A,0)+2),INDEX(choices!C:C,MATCH(M18,choices!A:A,0)+2),""),IF(M18=INDEX(choices!A:A,MATCH(M18,choices!A:A,0)+2), "
",""),IF(M18=INDEX(choices!A:A,MATCH(M18,choices!A:A,0)+3),INDEX(choices!C:C,MATCH(M18,choices!A:A,0)+3),""),IF(M18=INDEX(choices!A:A,MATCH(M18,choices!A:A,0)+3), "
",""),IF(M18=INDEX(choices!A:A,MATCH(M18,choices!A:A,0)+4),INDEX(choices!C:C,MATCH(M18,choices!A:A,0)+4),""),IF(M18=INDEX(choices!A:A,MATCH(M18,choices!A:A,0)+4), "
",""),IF(M18=INDEX(choices!A:A,MATCH(M18,choices!A:A,0)+5),INDEX(choices!C:C,MATCH(M18,choices!A:A,0)+5),""),IF(M18=INDEX(choices!A:A,MATCH(M18,choices!A:A,0)+5), "
",""),IF(M18=INDEX(choices!A:A,MATCH(M18,choices!A:A,0)+6),INDEX(choices!C:C,MATCH(M18,choices!A:A,0)+6),""),IF(M18=INDEX(choices!A:A,MATCH(M18,choices!A:A,0)+6), "
",""),IF(M18=INDEX(choices!A:A,MATCH(M18,choices!A:A,0)+7),INDEX(choices!C:C,MATCH(M18,choices!A:A,0)+7),""),IF(M18=INDEX(choices!A:A,MATCH(M18,choices!A:A,0)+7), "
",""),IF(M18=INDEX(choices!A:A,MATCH(M18,choices!A:A,0)+8),INDEX(choices!C:C,MATCH(M18,choices!A:A,0)+8),""),IF(M18=INDEX(choices!A:A,MATCH(M18,choices!A:A,0)+8), "
",""),IF(M18=INDEX(choices!A:A,MATCH(M18,choices!A:A,0)+9),INDEX(choices!C:C,MATCH(M18,choices!A:A,0)+9),""),IF(M18=INDEX(choices!A:A,MATCH(M18,choices!A:A,0)+9), "
",""),IF(M18=INDEX(choices!A:A,MATCH(M18,choices!A:A,0)+10),INDEX(choices!C:C,MATCH(M18,choices!A:A,0)+10),""),IF(M18=INDEX(choices!A:A,MATCH(M18,choices!A:A,0)+10), "
",""),IF(M18=INDEX(choices!A:A,MATCH(M18,choices!A:A,0)+11),INDEX(choices!C:C,MATCH(M18,choices!A:A,0)+11),""),IF(M18=INDEX(choices!A:A,MATCH(M18,choices!A:A,0)+11), "
",""),IF(M18=INDEX(choices!A:A,MATCH(M18,choices!A:A,0)+12),INDEX(choices!C:C,MATCH(M18,choices!A:A,0)+12),""),IF(M18=INDEX(choices!A:A,MATCH(M18,choices!A:A,0)+12), "
",""),IF(M18=INDEX(choices!A:A,MATCH(M18,choices!A:A,0)+13),INDEX(choices!C:C,MATCH(M18,choices!A:A,0)+13),""),IF(M18=INDEX(choices!A:A,MATCH(M18,choices!A:A,0)+13), "
",""),IF(M18=INDEX(choices!A:A,MATCH(M18,choices!A:A,0)+14),INDEX(choices!C:C,MATCH(M18,choices!A:A,0)+14),""),IF(M18=INDEX(choices!A:A,MATCH(M18,choices!A:A,0)+14), "
",""),IF(M18=INDEX(choices!A:A,MATCH(M18,choices!A:A,0)+15),INDEX(choices!C:C,MATCH(M18,choices!A:A,0)+15),""),IF(M18=INDEX(choices!A:A,MATCH(M18,choices!A:A,0)+15), "
",""),IF(M18=INDEX(choices!A:A,MATCH(M18,choices!A:A,0)+16),INDEX(choices!C:C,MATCH(M18,choices!A:A,0)+16),""),IF(M18=INDEX(choices!A:A,MATCH(M18,choices!A:A,0)+16), "
",""),IF(M18=INDEX(choices!A:A,MATCH(M18,choices!A:A,0)+17),INDEX(choices!C:C,MATCH(M18,choices!A:A,0)+17),""),IF(M18=INDEX(choices!A:A,MATCH(M18,choices!A:A,0)+17), "
",""),IF(M18=INDEX(choices!A:A,MATCH(M18,choices!A:A,0)+18),INDEX(choices!C:C,MATCH(M18,choices!A:A,0)+18),""),IF(M18=INDEX(choices!A:A,MATCH(M18,choices!A:A,0)+18), "
",""),IF(M18=INDEX(choices!A:A,MATCH(M18,choices!A:A,0)+19),INDEX(choices!C:C,MATCH(M18,choices!A:A,0)+19),""),IF(M18=INDEX(choices!A:A,MATCH(M18,choices!A:A,0)+19), "
",""),IF(M18=INDEX(choices!A:A,MATCH(M18,choices!A:A,0)+20),INDEX(choices!C:C,MATCH(M18,choices!A:A,0)+20),""),IF(M18=INDEX(choices!A:A,MATCH(M18,choices!A:A,0)+20), "
","")," ")</f>
        <v xml:space="preserve">1. نعم
2. لا
 </v>
      </c>
      <c r="H18" s="164" t="str">
        <f>CONCATENATE(" 2 ---&gt;",I29)</f>
        <v xml:space="preserve"> 2 ---&gt;16108</v>
      </c>
      <c r="I18" s="64">
        <f>I11+2</f>
        <v>16105</v>
      </c>
      <c r="J18" s="66"/>
      <c r="L18" s="64" t="s">
        <v>18</v>
      </c>
      <c r="M18" s="64" t="s">
        <v>17</v>
      </c>
      <c r="N18" s="19" t="str">
        <f>CONCATENATE("q",I18)</f>
        <v>q16105</v>
      </c>
      <c r="O18" s="48" t="str">
        <f>CONCATENATE(I18, ". ", E18)</f>
        <v>16105. هل اشترت أو ورثت الأسرة أو أهدي إليها أي أراضي خلال الـ12 شهر الماضية؟</v>
      </c>
      <c r="P18" s="31" t="str">
        <f>CONCATENATE(I18, ". ", B18)</f>
        <v>16105. Was any land bought, gifted, or inherited by the household in the last 12 months?</v>
      </c>
      <c r="Q18" s="48"/>
      <c r="R18" s="31"/>
      <c r="S18" s="28" t="str">
        <f>CONCATENATE($K$10, " &amp;&amp; ", $S$6 )</f>
        <v>selected(data('q16102'),'1') &amp;&amp; selected(data('q16101'),'1') &amp;&amp; data('valid_overall') == 1</v>
      </c>
      <c r="T18" s="31"/>
      <c r="U18" s="31"/>
      <c r="Y18" s="64" t="b">
        <v>1</v>
      </c>
    </row>
    <row r="19" spans="1:25" s="64" customFormat="1">
      <c r="A19" s="19"/>
      <c r="B19" s="31"/>
      <c r="C19" s="31"/>
      <c r="D19" s="127"/>
      <c r="E19" s="48"/>
      <c r="F19" s="48"/>
      <c r="G19" s="67"/>
      <c r="H19" s="164"/>
      <c r="J19" s="88" t="s">
        <v>24</v>
      </c>
      <c r="N19" s="19"/>
      <c r="O19" s="48"/>
      <c r="P19" s="31"/>
      <c r="Q19" s="48"/>
      <c r="R19" s="31"/>
      <c r="S19" s="28"/>
      <c r="T19" s="31"/>
      <c r="U19" s="31"/>
    </row>
    <row r="20" spans="1:25" s="64" customFormat="1">
      <c r="B20" s="31"/>
      <c r="C20" s="31"/>
      <c r="D20" s="181"/>
      <c r="E20" s="48"/>
      <c r="F20" s="48"/>
      <c r="G20" s="31"/>
      <c r="H20" s="181"/>
      <c r="J20" s="88" t="s">
        <v>23</v>
      </c>
      <c r="K20" s="64" t="str">
        <f>CONCATENATE("selected(data('",N18,"'),'1') &amp;&amp; ",K10)</f>
        <v>selected(data('q16105'),'1') &amp;&amp; selected(data('q16102'),'1') &amp;&amp; selected(data('q16101'),'1')</v>
      </c>
      <c r="N20" s="19"/>
      <c r="O20" s="48"/>
      <c r="P20" s="31"/>
      <c r="Q20" s="48"/>
      <c r="R20" s="31"/>
      <c r="S20" s="31"/>
      <c r="T20" s="31"/>
      <c r="U20" s="31"/>
    </row>
    <row r="21" spans="1:25" s="64" customFormat="1">
      <c r="B21" s="31"/>
      <c r="C21" s="31"/>
      <c r="D21" s="181"/>
      <c r="E21" s="48"/>
      <c r="F21" s="48"/>
      <c r="G21" s="31"/>
      <c r="H21" s="181"/>
      <c r="J21" s="22" t="s">
        <v>20</v>
      </c>
      <c r="N21" s="19"/>
      <c r="O21" s="48"/>
      <c r="P21" s="31"/>
      <c r="Q21" s="48"/>
      <c r="R21" s="31"/>
      <c r="S21" s="31"/>
      <c r="T21" s="31"/>
      <c r="U21" s="31"/>
    </row>
    <row r="22" spans="1:25" s="64" customFormat="1" ht="75">
      <c r="B22" s="31" t="s">
        <v>455</v>
      </c>
      <c r="C22" s="48" t="str">
        <f>CONCATENATE("Hints: ", R22)</f>
        <v>Hints: Value (in pound). Write 999998 if don’t know. Write 0 if gift or inherited</v>
      </c>
      <c r="D22" s="201"/>
      <c r="E22" s="294" t="s">
        <v>1006</v>
      </c>
      <c r="F22" s="48" t="str">
        <f>CONCATENATE("Hints: ",Q22, )</f>
        <v>Hints: في حالة "لا أعرف"، سجل 999998
إذا كانت هبة أو إرث، سجل 0</v>
      </c>
      <c r="G22" s="31"/>
      <c r="H22" s="181"/>
      <c r="I22" s="64">
        <f>I18+1</f>
        <v>16106</v>
      </c>
      <c r="J22" s="66"/>
      <c r="L22" s="19" t="s">
        <v>22</v>
      </c>
      <c r="N22" s="19"/>
      <c r="O22" s="312" t="str">
        <f>E22</f>
        <v xml:space="preserve">ما مساحة الأراضي التي تم شراؤها أو الحصول عليها كهبة/إرث؟
</v>
      </c>
      <c r="P22" s="117" t="str">
        <f>B22</f>
        <v>How large of the bought, gifted, or inherited lands?</v>
      </c>
      <c r="Q22" s="313" t="s">
        <v>1021</v>
      </c>
      <c r="R22" s="117" t="s">
        <v>751</v>
      </c>
      <c r="S22" s="31"/>
      <c r="T22" s="117"/>
      <c r="U22" s="117"/>
      <c r="V22" s="45"/>
      <c r="W22" s="45"/>
      <c r="X22" s="45"/>
      <c r="Y22" s="64" t="b">
        <v>1</v>
      </c>
    </row>
    <row r="23" spans="1:25" s="64" customFormat="1" ht="165">
      <c r="A23" s="19" t="str">
        <f>CONCATENATE("q",$I23)</f>
        <v>q16106_1</v>
      </c>
      <c r="B23" s="31" t="s">
        <v>445</v>
      </c>
      <c r="C23" s="31"/>
      <c r="D23" s="181"/>
      <c r="E23" s="48" t="s">
        <v>750</v>
      </c>
      <c r="F23" s="48"/>
      <c r="G23" s="31"/>
      <c r="H23" s="181"/>
      <c r="I23" s="19" t="str">
        <f>CONCATENATE(I22,"_1")</f>
        <v>16106_1</v>
      </c>
      <c r="J23" s="159"/>
      <c r="L23" s="19" t="s">
        <v>443</v>
      </c>
      <c r="N23" s="19" t="str">
        <f>CONCATENATE("q",I23)</f>
        <v>q16106_1</v>
      </c>
      <c r="O23" s="48" t="str">
        <f>CONCATENATE(I23, ". ", E23)</f>
        <v>16106_1. قيراط</v>
      </c>
      <c r="P23" s="31" t="str">
        <f>CONCATENATE(I23, ". ", B23)</f>
        <v>16106_1. Kirat</v>
      </c>
      <c r="Q23" s="455" t="s">
        <v>1488</v>
      </c>
      <c r="R23" s="300" t="s">
        <v>1489</v>
      </c>
      <c r="S23" s="28" t="str">
        <f>CONCATENATE($K$20, " &amp;&amp; ", $S$6)</f>
        <v>selected(data('q16105'),'1') &amp;&amp; selected(data('q16102'),'1') &amp;&amp; selected(data('q16101'),'1') &amp;&amp; data('valid_overall') == 1</v>
      </c>
      <c r="T23" s="31"/>
      <c r="U23" s="31"/>
      <c r="V23" s="28" t="str">
        <f>CONCATENATE("((data('",N23,"')&gt;=0 &amp; data('",N23,"')&lt;=23) || data('",N23,"')==999998) || data('valid_overall') == 0 || selected(data('",N6,"'), '2') || selected(data('",N8,"'), '2') || selected(data('",N18,"'), '2')")</f>
        <v>((data('q16106_1')&gt;=0 &amp; data('q16106_1')&lt;=23) || data('q16106_1')==999998) || data('valid_overall') == 0 || selected(data('q16101'), '2') || selected(data('q16102'), '2') || selected(data('q16105'), '2')</v>
      </c>
      <c r="Y23" s="64" t="b">
        <v>1</v>
      </c>
    </row>
    <row r="24" spans="1:25" s="64" customFormat="1" ht="60">
      <c r="A24" s="19" t="str">
        <f>CONCATENATE("q",$I24)</f>
        <v>q16106_2</v>
      </c>
      <c r="B24" s="31" t="s">
        <v>444</v>
      </c>
      <c r="C24" s="31"/>
      <c r="D24" s="181"/>
      <c r="E24" s="48" t="s">
        <v>749</v>
      </c>
      <c r="F24" s="48"/>
      <c r="G24" s="31"/>
      <c r="H24" s="181"/>
      <c r="I24" s="19" t="str">
        <f>CONCATENATE(I22,"_2")</f>
        <v>16106_2</v>
      </c>
      <c r="J24" s="159"/>
      <c r="L24" s="19" t="s">
        <v>443</v>
      </c>
      <c r="N24" s="19" t="str">
        <f>CONCATENATE("q",I24)</f>
        <v>q16106_2</v>
      </c>
      <c r="O24" s="48" t="str">
        <f>CONCATENATE(I24, ". ", E24)</f>
        <v>16106_2. فدان</v>
      </c>
      <c r="P24" s="31" t="str">
        <f>CONCATENATE(I24, ". ", B24)</f>
        <v>16106_2. Fedan</v>
      </c>
      <c r="Q24" s="50" t="s">
        <v>1490</v>
      </c>
      <c r="R24" s="300" t="s">
        <v>1491</v>
      </c>
      <c r="S24" s="28" t="str">
        <f>CONCATENATE($K$20, " &amp;&amp; ", $S$6)</f>
        <v>selected(data('q16105'),'1') &amp;&amp; selected(data('q16102'),'1') &amp;&amp; selected(data('q16101'),'1') &amp;&amp; data('valid_overall') == 1</v>
      </c>
      <c r="T24" s="31"/>
      <c r="U24" s="31"/>
      <c r="Y24" s="64" t="b">
        <v>1</v>
      </c>
    </row>
    <row r="25" spans="1:25" s="64" customFormat="1">
      <c r="B25" s="31"/>
      <c r="C25" s="31"/>
      <c r="D25" s="181"/>
      <c r="E25" s="48"/>
      <c r="F25" s="48"/>
      <c r="G25" s="31"/>
      <c r="H25" s="181"/>
      <c r="J25" s="22" t="s">
        <v>21</v>
      </c>
      <c r="L25" s="19"/>
      <c r="N25" s="19"/>
      <c r="O25" s="48"/>
      <c r="P25" s="31"/>
      <c r="Q25" s="48"/>
      <c r="R25" s="31"/>
      <c r="S25" s="31"/>
      <c r="T25" s="31"/>
      <c r="U25" s="31"/>
    </row>
    <row r="26" spans="1:25" s="64" customFormat="1" ht="75">
      <c r="A26" s="19" t="str">
        <f>CONCATENATE("q",I26)</f>
        <v>q16107</v>
      </c>
      <c r="B26" s="31" t="s">
        <v>673</v>
      </c>
      <c r="C26" s="48" t="str">
        <f>CONCATENATE("Hints: ", R26)</f>
        <v>Hints: Value (in pound). Write 999998 if don’t know. Write 0 if gift or inherited</v>
      </c>
      <c r="D26" s="164"/>
      <c r="E26" s="48" t="s">
        <v>752</v>
      </c>
      <c r="F26" s="48" t="str">
        <f>CONCATENATE("Hints: ",Q26, )</f>
        <v>Hints: في حالة "لا أعرف"، سجل 999998
إذا كانت هبة أو إرث، سجل 0</v>
      </c>
      <c r="G26" s="31"/>
      <c r="H26" s="181"/>
      <c r="I26" s="64">
        <f>I22+1</f>
        <v>16107</v>
      </c>
      <c r="J26" s="159"/>
      <c r="L26" s="19" t="s">
        <v>19</v>
      </c>
      <c r="N26" s="19" t="str">
        <f>CONCATENATE("q",I26)</f>
        <v>q16107</v>
      </c>
      <c r="O26" s="312" t="str">
        <f>CONCATENATE(I26, ". ", E26)</f>
        <v>16107. ما هو المبلغ المدفوع (بما فيه أي مدفوعات عينية)؟</v>
      </c>
      <c r="P26" s="117" t="str">
        <f>CONCATENATE(I26, ". ", B26)</f>
        <v xml:space="preserve">16107. How much was paid? (including payment in kind). </v>
      </c>
      <c r="Q26" s="313" t="s">
        <v>1021</v>
      </c>
      <c r="R26" s="117" t="s">
        <v>751</v>
      </c>
      <c r="S26" s="28" t="str">
        <f>CONCATENATE($K$20, " &amp;&amp; ", $S$6)</f>
        <v>selected(data('q16105'),'1') &amp;&amp; selected(data('q16102'),'1') &amp;&amp; selected(data('q16101'),'1') &amp;&amp; data('valid_overall') == 1</v>
      </c>
      <c r="T26" s="117"/>
      <c r="U26" s="117"/>
      <c r="V26" s="45"/>
      <c r="W26" s="45"/>
      <c r="X26" s="45"/>
      <c r="Y26" s="64" t="b">
        <v>1</v>
      </c>
    </row>
    <row r="27" spans="1:25" s="64" customFormat="1">
      <c r="B27" s="31"/>
      <c r="C27" s="31"/>
      <c r="D27" s="181"/>
      <c r="E27" s="48"/>
      <c r="F27" s="48"/>
      <c r="G27" s="31"/>
      <c r="H27" s="181"/>
      <c r="J27" s="88" t="s">
        <v>42</v>
      </c>
      <c r="L27" s="19"/>
      <c r="N27" s="19"/>
      <c r="O27" s="48"/>
      <c r="P27" s="31"/>
      <c r="Q27" s="48"/>
      <c r="R27" s="31"/>
      <c r="S27" s="31"/>
      <c r="T27" s="31"/>
      <c r="U27" s="31"/>
    </row>
    <row r="28" spans="1:25" s="64" customFormat="1">
      <c r="B28" s="31"/>
      <c r="C28" s="31"/>
      <c r="D28" s="181"/>
      <c r="E28" s="48"/>
      <c r="F28" s="48"/>
      <c r="G28" s="31"/>
      <c r="H28" s="181"/>
      <c r="J28" s="88" t="s">
        <v>23</v>
      </c>
      <c r="K28" s="64" t="str">
        <f>K10</f>
        <v>selected(data('q16102'),'1') &amp;&amp; selected(data('q16101'),'1')</v>
      </c>
      <c r="L28" s="19"/>
      <c r="N28" s="19"/>
      <c r="O28" s="48"/>
      <c r="P28" s="31"/>
      <c r="Q28" s="48"/>
      <c r="R28" s="31"/>
      <c r="S28" s="31"/>
      <c r="T28" s="31"/>
      <c r="U28" s="31"/>
    </row>
    <row r="29" spans="1:25" s="64" customFormat="1" ht="60">
      <c r="A29" s="19" t="str">
        <f>CONCATENATE("q",$I29)</f>
        <v>q16108</v>
      </c>
      <c r="B29" s="31" t="s">
        <v>454</v>
      </c>
      <c r="C29" s="31"/>
      <c r="D29" s="127" t="str">
        <f>CONCATENATE(INDEX(choices!D:D,MATCH(M29,choices!A:A,0)),"
",IF(M29=INDEX(choices!A:A,MATCH(M29,choices!A:A,0)+1),INDEX(choices!D:D,MATCH(M29,choices!A:A,0)+1),""),IF(M29=INDEX(choices!A:A,MATCH(M29,choices!A:A,0)+1), "
",""),IF(M29=INDEX(choices!A:A,MATCH(M29,choices!A:A,0)+2),INDEX(choices!D:D,MATCH(M29,choices!A:A,0)+2),""),IF(M29=INDEX(choices!A:A,MATCH(M29,choices!A:A,0)+2), "
",""),IF(M29=INDEX(choices!A:A,MATCH(M29,choices!A:A,0)+3),INDEX(choices!D:D,MATCH(M29,choices!A:A,0)+3),""),IF(M29=INDEX(choices!A:A,MATCH(M29,choices!A:A,0)+3), "
",""),IF(M29=INDEX(choices!A:A,MATCH(M29,choices!A:A,0)+4),INDEX(choices!D:D,MATCH(M29,choices!A:A,0)+4),""),IF(M29=INDEX(choices!A:A,MATCH(M29,choices!A:A,0)+4), "
",""),IF(M29=INDEX(choices!A:A,MATCH(M29,choices!A:A,0)+5),INDEX(choices!D:D,MATCH(M29,choices!A:A,0)+5),""),IF(M29=INDEX(choices!A:A,MATCH(M29,choices!A:A,0)+5), "
",""),IF(M29=INDEX(choices!A:A,MATCH(M29,choices!A:A,0)+6),INDEX(choices!D:D,MATCH(M29,choices!A:A,0)+6),""),IF(M29=INDEX(choices!A:A,MATCH(M29,choices!A:A,0)+6), "
",""),IF(M29=INDEX(choices!A:A,MATCH(M29,choices!A:A,0)+7),INDEX(choices!D:D,MATCH(M29,choices!A:A,0)+7),""),IF(M29=INDEX(choices!A:A,MATCH(M29,choices!A:A,0)+7), "
",""),IF(M29=INDEX(choices!A:A,MATCH(M29,choices!A:A,0)+8),INDEX(choices!D:D,MATCH(M29,choices!A:A,0)+8),""),IF(M29=INDEX(choices!A:A,MATCH(M29,choices!A:A,0)+8), "
",""),IF(M29=INDEX(choices!A:A,MATCH(M29,choices!A:A,0)+9),INDEX(choices!D:D,MATCH(M29,choices!A:A,0)+9),""),IF(M29=INDEX(choices!A:A,MATCH(M29,choices!A:A,0)+9), "
",""),IF(M29=INDEX(choices!A:A,MATCH(M29,choices!A:A,0)+10),INDEX(choices!D:D,MATCH(M29,choices!A:A,0)+10),""),IF(M29=INDEX(choices!A:A,MATCH(M29,choices!A:A,0)+10), "
",""),IF(M29=INDEX(choices!A:A,MATCH(M29,choices!A:A,0)+11),INDEX(choices!D:D,MATCH(M29,choices!A:A,0)+11),""),IF(M29=INDEX(choices!A:A,MATCH(M29,choices!A:A,0)+11), "
",""),IF(M29=INDEX(choices!A:A,MATCH(M29,choices!A:A,0)+12),INDEX(choices!D:D,MATCH(M29,choices!A:A,0)+12),""),IF(M29=INDEX(choices!A:A,MATCH(M29,choices!A:A,0)+12), "
",""),IF(M29=INDEX(choices!A:A,MATCH(M29,choices!A:A,0)+13),INDEX(choices!D:D,MATCH(M29,choices!A:A,0)+13),""),IF(M29=INDEX(choices!A:A,MATCH(M29,choices!A:A,0)+13), "
",""),IF(M29=INDEX(choices!A:A,MATCH(M29,choices!A:A,0)+14),INDEX(choices!D:D,MATCH(M29,choices!A:A,0)+14),""),IF(M29=INDEX(choices!A:A,MATCH(M29,choices!A:A,0)+14), "
",""),IF(M29=INDEX(choices!A:A,MATCH(M29,choices!A:A,0)+15),INDEX(choices!D:D,MATCH(M29,choices!A:A,0)+15),""),IF(M29=INDEX(choices!A:A,MATCH(M29,choices!A:A,0)+15), "
",""),IF(M29=INDEX(choices!A:A,MATCH(M29,choices!A:A,0)+16),INDEX(choices!D:D,MATCH(M29,choices!A:A,0)+16),""),IF(M29=INDEX(choices!A:A,MATCH(M29,choices!A:A,0)+16), "
",""),IF(M29=INDEX(choices!A:A,MATCH(M29,choices!A:A,0)+17),INDEX(choices!D:D,MATCH(M29,choices!A:A,0)+17),""),IF(M29=INDEX(choices!A:A,MATCH(M29,choices!A:A,0)+17), "
",""),IF(M29=INDEX(choices!A:A,MATCH(M29,choices!A:A,0)+18),INDEX(choices!D:D,MATCH(M29,choices!A:A,0)+18),""),IF(M29=INDEX(choices!A:A,MATCH(M29,choices!A:A,0)+18), "
",""),IF(M29=INDEX(choices!A:A,MATCH(M29,choices!A:A,0)+19),INDEX(choices!D:D,MATCH(M29,choices!A:A,0)+19),""),IF(M29=INDEX(choices!A:A,MATCH(M29,choices!A:A,0)+19), "
",""),IF(M29=INDEX(choices!A:A,MATCH(M29,choices!A:A,0)+20),INDEX(choices!D:D,MATCH(M29,choices!A:A,0)+20),""),IF(M29=INDEX(choices!A:A,MATCH(M29,choices!A:A,0)+20), "
",""))</f>
        <v xml:space="preserve">1. Yes
2. No
</v>
      </c>
      <c r="E29" s="294" t="s">
        <v>1007</v>
      </c>
      <c r="F29" s="294"/>
      <c r="G29" s="67" t="str">
        <f>CONCATENATE(INDEX(choices!C:C,MATCH(M29,choices!A:A,0)),"
",IF(M29=INDEX(choices!A:A,MATCH(M29,choices!A:A,0)+1),INDEX(choices!C:C,MATCH(M29,choices!A:A,0)+1),""),IF(M29=INDEX(choices!A:A,MATCH(M29,choices!A:A,0)+1), "
",""),IF(M29=INDEX(choices!A:A,MATCH(M29,choices!A:A,0)+2),INDEX(choices!C:C,MATCH(M29,choices!A:A,0)+2),""),IF(M29=INDEX(choices!A:A,MATCH(M29,choices!A:A,0)+2), "
",""),IF(M29=INDEX(choices!A:A,MATCH(M29,choices!A:A,0)+3),INDEX(choices!C:C,MATCH(M29,choices!A:A,0)+3),""),IF(M29=INDEX(choices!A:A,MATCH(M29,choices!A:A,0)+3), "
",""),IF(M29=INDEX(choices!A:A,MATCH(M29,choices!A:A,0)+4),INDEX(choices!C:C,MATCH(M29,choices!A:A,0)+4),""),IF(M29=INDEX(choices!A:A,MATCH(M29,choices!A:A,0)+4), "
",""),IF(M29=INDEX(choices!A:A,MATCH(M29,choices!A:A,0)+5),INDEX(choices!C:C,MATCH(M29,choices!A:A,0)+5),""),IF(M29=INDEX(choices!A:A,MATCH(M29,choices!A:A,0)+5), "
",""),IF(M29=INDEX(choices!A:A,MATCH(M29,choices!A:A,0)+6),INDEX(choices!C:C,MATCH(M29,choices!A:A,0)+6),""),IF(M29=INDEX(choices!A:A,MATCH(M29,choices!A:A,0)+6), "
",""),IF(M29=INDEX(choices!A:A,MATCH(M29,choices!A:A,0)+7),INDEX(choices!C:C,MATCH(M29,choices!A:A,0)+7),""),IF(M29=INDEX(choices!A:A,MATCH(M29,choices!A:A,0)+7), "
",""),IF(M29=INDEX(choices!A:A,MATCH(M29,choices!A:A,0)+8),INDEX(choices!C:C,MATCH(M29,choices!A:A,0)+8),""),IF(M29=INDEX(choices!A:A,MATCH(M29,choices!A:A,0)+8), "
",""),IF(M29=INDEX(choices!A:A,MATCH(M29,choices!A:A,0)+9),INDEX(choices!C:C,MATCH(M29,choices!A:A,0)+9),""),IF(M29=INDEX(choices!A:A,MATCH(M29,choices!A:A,0)+9), "
",""),IF(M29=INDEX(choices!A:A,MATCH(M29,choices!A:A,0)+10),INDEX(choices!C:C,MATCH(M29,choices!A:A,0)+10),""),IF(M29=INDEX(choices!A:A,MATCH(M29,choices!A:A,0)+10), "
",""),IF(M29=INDEX(choices!A:A,MATCH(M29,choices!A:A,0)+11),INDEX(choices!C:C,MATCH(M29,choices!A:A,0)+11),""),IF(M29=INDEX(choices!A:A,MATCH(M29,choices!A:A,0)+11), "
",""),IF(M29=INDEX(choices!A:A,MATCH(M29,choices!A:A,0)+12),INDEX(choices!C:C,MATCH(M29,choices!A:A,0)+12),""),IF(M29=INDEX(choices!A:A,MATCH(M29,choices!A:A,0)+12), "
",""),IF(M29=INDEX(choices!A:A,MATCH(M29,choices!A:A,0)+13),INDEX(choices!C:C,MATCH(M29,choices!A:A,0)+13),""),IF(M29=INDEX(choices!A:A,MATCH(M29,choices!A:A,0)+13), "
",""),IF(M29=INDEX(choices!A:A,MATCH(M29,choices!A:A,0)+14),INDEX(choices!C:C,MATCH(M29,choices!A:A,0)+14),""),IF(M29=INDEX(choices!A:A,MATCH(M29,choices!A:A,0)+14), "
",""),IF(M29=INDEX(choices!A:A,MATCH(M29,choices!A:A,0)+15),INDEX(choices!C:C,MATCH(M29,choices!A:A,0)+15),""),IF(M29=INDEX(choices!A:A,MATCH(M29,choices!A:A,0)+15), "
",""),IF(M29=INDEX(choices!A:A,MATCH(M29,choices!A:A,0)+16),INDEX(choices!C:C,MATCH(M29,choices!A:A,0)+16),""),IF(M29=INDEX(choices!A:A,MATCH(M29,choices!A:A,0)+16), "
",""),IF(M29=INDEX(choices!A:A,MATCH(M29,choices!A:A,0)+17),INDEX(choices!C:C,MATCH(M29,choices!A:A,0)+17),""),IF(M29=INDEX(choices!A:A,MATCH(M29,choices!A:A,0)+17), "
",""),IF(M29=INDEX(choices!A:A,MATCH(M29,choices!A:A,0)+18),INDEX(choices!C:C,MATCH(M29,choices!A:A,0)+18),""),IF(M29=INDEX(choices!A:A,MATCH(M29,choices!A:A,0)+18), "
",""),IF(M29=INDEX(choices!A:A,MATCH(M29,choices!A:A,0)+19),INDEX(choices!C:C,MATCH(M29,choices!A:A,0)+19),""),IF(M29=INDEX(choices!A:A,MATCH(M29,choices!A:A,0)+19), "
",""),IF(M29=INDEX(choices!A:A,MATCH(M29,choices!A:A,0)+20),INDEX(choices!C:C,MATCH(M29,choices!A:A,0)+20),""),IF(M29=INDEX(choices!A:A,MATCH(M29,choices!A:A,0)+20), "
","")," ")</f>
        <v xml:space="preserve">1. نعم
2. لا
 </v>
      </c>
      <c r="H29" s="164" t="str">
        <f>CONCATENATE(" 2. No ---&gt;",I43)</f>
        <v xml:space="preserve"> 2. No ---&gt;16111</v>
      </c>
      <c r="I29" s="64">
        <f>I26+1</f>
        <v>16108</v>
      </c>
      <c r="J29" s="66"/>
      <c r="L29" s="64" t="s">
        <v>18</v>
      </c>
      <c r="M29" s="64" t="s">
        <v>17</v>
      </c>
      <c r="N29" s="19" t="str">
        <f>CONCATENATE("q",I29)</f>
        <v>q16108</v>
      </c>
      <c r="O29" s="48" t="str">
        <f>CONCATENATE(I29, ". ", E29)</f>
        <v xml:space="preserve">16108. هل تمّ بيع أو التصرّف في أي أراضي خلال الـ12 شهر الماضية؟  </v>
      </c>
      <c r="P29" s="31" t="str">
        <f>CONCATENATE(I29, ". ", B29)</f>
        <v>16108. Was any land sold in the last 12 months?</v>
      </c>
      <c r="Q29" s="48"/>
      <c r="R29" s="31"/>
      <c r="S29" s="28" t="str">
        <f>CONCATENATE($K$10, " &amp;&amp; ", $S$6)</f>
        <v>selected(data('q16102'),'1') &amp;&amp; selected(data('q16101'),'1') &amp;&amp; data('valid_overall') == 1</v>
      </c>
      <c r="T29" s="31"/>
      <c r="U29" s="31"/>
      <c r="Y29" s="64" t="b">
        <v>1</v>
      </c>
    </row>
    <row r="30" spans="1:25" s="64" customFormat="1">
      <c r="A30" s="19"/>
      <c r="B30" s="31"/>
      <c r="C30" s="31"/>
      <c r="D30" s="127"/>
      <c r="E30" s="48"/>
      <c r="F30" s="48"/>
      <c r="G30" s="67"/>
      <c r="H30" s="164"/>
      <c r="N30" s="19"/>
      <c r="O30" s="48"/>
      <c r="P30" s="31"/>
      <c r="Q30" s="48"/>
      <c r="R30" s="31"/>
      <c r="S30" s="28"/>
      <c r="T30" s="31"/>
      <c r="U30" s="31"/>
    </row>
    <row r="31" spans="1:25" s="64" customFormat="1">
      <c r="A31" s="19"/>
      <c r="B31" s="31"/>
      <c r="C31" s="31"/>
      <c r="D31" s="127"/>
      <c r="E31" s="48"/>
      <c r="F31" s="48"/>
      <c r="G31" s="67"/>
      <c r="H31" s="164"/>
      <c r="J31" s="88" t="s">
        <v>24</v>
      </c>
      <c r="N31" s="19"/>
      <c r="O31" s="48"/>
      <c r="P31" s="31"/>
      <c r="Q31" s="48"/>
      <c r="R31" s="31"/>
      <c r="S31" s="28"/>
      <c r="T31" s="31"/>
      <c r="U31" s="31"/>
    </row>
    <row r="32" spans="1:25" s="64" customFormat="1">
      <c r="B32" s="31"/>
      <c r="C32" s="31"/>
      <c r="D32" s="181"/>
      <c r="E32" s="48"/>
      <c r="F32" s="48"/>
      <c r="G32" s="31"/>
      <c r="H32" s="181"/>
      <c r="J32" s="88" t="s">
        <v>51</v>
      </c>
      <c r="K32" s="64" t="str">
        <f>CONCATENATE("selected(data('",N29,"'),'1') &amp;&amp; ", K10)</f>
        <v>selected(data('q16108'),'1') &amp;&amp; selected(data('q16102'),'1') &amp;&amp; selected(data('q16101'),'1')</v>
      </c>
      <c r="N32" s="19"/>
      <c r="O32" s="48"/>
      <c r="P32" s="31"/>
      <c r="Q32" s="48"/>
      <c r="R32" s="31"/>
      <c r="S32" s="31"/>
      <c r="T32" s="31"/>
      <c r="U32" s="31"/>
    </row>
    <row r="33" spans="1:25" s="64" customFormat="1">
      <c r="B33" s="31"/>
      <c r="C33" s="31"/>
      <c r="D33" s="181"/>
      <c r="E33" s="48"/>
      <c r="F33" s="48"/>
      <c r="G33" s="31"/>
      <c r="H33" s="181"/>
      <c r="J33" s="22" t="s">
        <v>20</v>
      </c>
      <c r="N33" s="19"/>
      <c r="O33" s="48"/>
      <c r="P33" s="31"/>
      <c r="Q33" s="48"/>
      <c r="R33" s="31"/>
      <c r="S33" s="31"/>
      <c r="T33" s="31"/>
      <c r="U33" s="31"/>
    </row>
    <row r="34" spans="1:25" s="64" customFormat="1" ht="45">
      <c r="B34" s="31" t="s">
        <v>453</v>
      </c>
      <c r="C34" s="48" t="str">
        <f>CONCATENATE("Hints: ", R34)</f>
        <v>Hints: Write 99998 if don’t know</v>
      </c>
      <c r="D34" s="201"/>
      <c r="E34" s="48" t="s">
        <v>753</v>
      </c>
      <c r="F34" s="48" t="str">
        <f>CONCATENATE("Hints: ",Q34, )</f>
        <v>Hints: في حالة "لا أعرف"، سجل 999998</v>
      </c>
      <c r="G34" s="31"/>
      <c r="H34" s="181"/>
      <c r="I34" s="64">
        <f>I29+1</f>
        <v>16109</v>
      </c>
      <c r="J34" s="88"/>
      <c r="L34" s="19" t="s">
        <v>22</v>
      </c>
      <c r="N34" s="19"/>
      <c r="O34" s="312" t="str">
        <f>E34</f>
        <v>ما مساحة الأراضي التي بيعت؟</v>
      </c>
      <c r="P34" s="117" t="str">
        <f>B34</f>
        <v>How large was the land sold?</v>
      </c>
      <c r="Q34" s="313" t="s">
        <v>1022</v>
      </c>
      <c r="R34" s="117" t="s">
        <v>1019</v>
      </c>
      <c r="S34" s="31"/>
      <c r="T34" s="117"/>
      <c r="U34" s="117"/>
      <c r="V34" s="45"/>
      <c r="W34" s="45"/>
      <c r="X34" s="45"/>
      <c r="Y34" s="64" t="b">
        <v>1</v>
      </c>
    </row>
    <row r="35" spans="1:25" s="64" customFormat="1" ht="135">
      <c r="A35" s="19" t="str">
        <f>CONCATENATE("q",$I35)</f>
        <v>q16109_1</v>
      </c>
      <c r="B35" s="31" t="s">
        <v>445</v>
      </c>
      <c r="C35" s="31"/>
      <c r="D35" s="181"/>
      <c r="E35" s="48" t="s">
        <v>750</v>
      </c>
      <c r="F35" s="48"/>
      <c r="G35" s="31"/>
      <c r="H35" s="181"/>
      <c r="I35" s="19" t="str">
        <f>CONCATENATE(I34,"_1")</f>
        <v>16109_1</v>
      </c>
      <c r="J35" s="92"/>
      <c r="L35" s="19" t="s">
        <v>443</v>
      </c>
      <c r="N35" s="19" t="str">
        <f>CONCATENATE("q",I35)</f>
        <v>q16109_1</v>
      </c>
      <c r="O35" s="48" t="str">
        <f>CONCATENATE(I35, ". ", E35)</f>
        <v>16109_1. قيراط</v>
      </c>
      <c r="P35" s="31" t="str">
        <f>CONCATENATE(I35, ". ", B35)</f>
        <v>16109_1. Kirat</v>
      </c>
      <c r="Q35" s="455" t="s">
        <v>1488</v>
      </c>
      <c r="R35" s="300" t="s">
        <v>1489</v>
      </c>
      <c r="S35" s="28" t="str">
        <f>CONCATENATE(,$K$32, " &amp;&amp; ", $S$6)</f>
        <v>selected(data('q16108'),'1') &amp;&amp; selected(data('q16102'),'1') &amp;&amp; selected(data('q16101'),'1') &amp;&amp; data('valid_overall') == 1</v>
      </c>
      <c r="T35" s="31"/>
      <c r="U35" s="31"/>
      <c r="V35" s="28" t="str">
        <f>CONCATENATE("((data('",N35,"')&gt;=0 &amp; data('",N35,"')&lt;=23) || data('",N35,"')==999998) || data('valid_overall') == 0 || selected(data('",N6,"'), '2') || selected(data('",N7,"'), '2') || selected(data('",N29,"'), '2')")</f>
        <v>((data('q16109_1')&gt;=0 &amp; data('q16109_1')&lt;=23) || data('q16109_1')==999998) || data('valid_overall') == 0 || selected(data('q16101'), '2') || selected(data(''), '2') || selected(data('q16108'), '2')</v>
      </c>
      <c r="Y35" s="64" t="b">
        <v>1</v>
      </c>
    </row>
    <row r="36" spans="1:25" s="64" customFormat="1" ht="60">
      <c r="A36" s="19" t="str">
        <f>CONCATENATE("q",$I36)</f>
        <v>q16109_2</v>
      </c>
      <c r="B36" s="31" t="s">
        <v>444</v>
      </c>
      <c r="C36" s="31"/>
      <c r="D36" s="181"/>
      <c r="E36" s="48" t="s">
        <v>749</v>
      </c>
      <c r="F36" s="48"/>
      <c r="G36" s="31"/>
      <c r="H36" s="181"/>
      <c r="I36" s="19" t="str">
        <f>CONCATENATE(I34,"_2")</f>
        <v>16109_2</v>
      </c>
      <c r="J36" s="92"/>
      <c r="L36" s="19" t="s">
        <v>443</v>
      </c>
      <c r="N36" s="19" t="str">
        <f>CONCATENATE("q",I36)</f>
        <v>q16109_2</v>
      </c>
      <c r="O36" s="48" t="str">
        <f>CONCATENATE(I36, ". ", E36)</f>
        <v>16109_2. فدان</v>
      </c>
      <c r="P36" s="31" t="str">
        <f>CONCATENATE(I36, ". ", B36)</f>
        <v>16109_2. Fedan</v>
      </c>
      <c r="Q36" s="50" t="s">
        <v>1490</v>
      </c>
      <c r="R36" s="300" t="s">
        <v>1491</v>
      </c>
      <c r="S36" s="28" t="str">
        <f>CONCATENATE(,$K$32, " &amp;&amp; ", $S$6)</f>
        <v>selected(data('q16108'),'1') &amp;&amp; selected(data('q16102'),'1') &amp;&amp; selected(data('q16101'),'1') &amp;&amp; data('valid_overall') == 1</v>
      </c>
      <c r="T36" s="31"/>
      <c r="U36" s="31"/>
      <c r="Y36" s="64" t="b">
        <v>1</v>
      </c>
    </row>
    <row r="37" spans="1:25" s="64" customFormat="1">
      <c r="B37" s="31"/>
      <c r="C37" s="31"/>
      <c r="D37" s="181"/>
      <c r="E37" s="48"/>
      <c r="F37" s="48"/>
      <c r="G37" s="31"/>
      <c r="H37" s="181"/>
      <c r="J37" s="22" t="s">
        <v>21</v>
      </c>
      <c r="L37" s="19"/>
      <c r="N37" s="19"/>
      <c r="O37" s="48"/>
      <c r="P37" s="31"/>
      <c r="Q37" s="48"/>
      <c r="R37" s="31"/>
      <c r="S37" s="31"/>
      <c r="T37" s="31"/>
      <c r="U37" s="31"/>
    </row>
    <row r="38" spans="1:25" s="64" customFormat="1">
      <c r="B38" s="31"/>
      <c r="C38" s="31"/>
      <c r="D38" s="181"/>
      <c r="E38" s="48"/>
      <c r="F38" s="48"/>
      <c r="G38" s="31"/>
      <c r="H38" s="181"/>
      <c r="J38" s="22" t="s">
        <v>20</v>
      </c>
      <c r="L38" s="19"/>
      <c r="N38" s="19"/>
      <c r="O38" s="48"/>
      <c r="P38" s="31"/>
      <c r="Q38" s="48"/>
      <c r="R38" s="31"/>
      <c r="S38" s="31"/>
      <c r="T38" s="31"/>
      <c r="U38" s="31"/>
    </row>
    <row r="39" spans="1:25" s="64" customFormat="1" ht="75">
      <c r="A39" s="19" t="str">
        <f>CONCATENATE("q",$I39)</f>
        <v>q16110</v>
      </c>
      <c r="B39" s="31" t="s">
        <v>452</v>
      </c>
      <c r="C39" s="48" t="str">
        <f>CONCATENATE("Hints: ", R39)</f>
        <v>Hints: Value (in pound). Write 999998 if don’t know. Write 0 if gift or inherited</v>
      </c>
      <c r="D39" s="164"/>
      <c r="E39" s="48" t="s">
        <v>755</v>
      </c>
      <c r="F39" s="48" t="str">
        <f>CONCATENATE("Hints: ",Q39, )</f>
        <v>Hints: في حالة "لا أعرف"، سجل 999998
إذا كانت هبة أو إرث، سجل 0</v>
      </c>
      <c r="G39" s="31"/>
      <c r="H39" s="181"/>
      <c r="I39" s="64">
        <f>I34+1</f>
        <v>16110</v>
      </c>
      <c r="J39" s="92"/>
      <c r="L39" s="19" t="s">
        <v>19</v>
      </c>
      <c r="N39" s="19" t="str">
        <f>CONCATENATE("q",I39)</f>
        <v>q16110</v>
      </c>
      <c r="O39" s="312" t="str">
        <f>CONCATENATE(I39, ". ", E39)</f>
        <v>16110. ما هو المبلغ الذي حصلت عليه من بيع هذه الأراضي (بما فيه إيرادات عينية)؟</v>
      </c>
      <c r="P39" s="117" t="str">
        <f>CONCATENATE(I39, ". ", B39)</f>
        <v>16110. How much did you receive by selling that land? (including payment in kind)?</v>
      </c>
      <c r="Q39" s="313" t="s">
        <v>1021</v>
      </c>
      <c r="R39" s="117" t="s">
        <v>751</v>
      </c>
      <c r="S39" s="28" t="str">
        <f>CONCATENATE(,$K$32, " &amp;&amp; ", $S$6)</f>
        <v>selected(data('q16108'),'1') &amp;&amp; selected(data('q16102'),'1') &amp;&amp; selected(data('q16101'),'1') &amp;&amp; data('valid_overall') == 1</v>
      </c>
      <c r="T39" s="117"/>
      <c r="U39" s="117"/>
      <c r="V39" s="45"/>
      <c r="W39" s="45"/>
      <c r="X39" s="45"/>
      <c r="Y39" s="64" t="b">
        <v>1</v>
      </c>
    </row>
    <row r="40" spans="1:25" s="64" customFormat="1">
      <c r="B40" s="31"/>
      <c r="C40" s="31"/>
      <c r="D40" s="181"/>
      <c r="E40" s="48"/>
      <c r="F40" s="48"/>
      <c r="G40" s="31"/>
      <c r="H40" s="181"/>
      <c r="J40" s="22" t="s">
        <v>21</v>
      </c>
      <c r="L40" s="19"/>
      <c r="N40" s="19"/>
      <c r="O40" s="48"/>
      <c r="P40" s="31"/>
      <c r="Q40" s="48"/>
      <c r="R40" s="31"/>
      <c r="S40" s="31"/>
      <c r="T40" s="31"/>
      <c r="U40" s="31"/>
    </row>
    <row r="41" spans="1:25" s="64" customFormat="1">
      <c r="B41" s="31"/>
      <c r="C41" s="31"/>
      <c r="D41" s="181"/>
      <c r="E41" s="48"/>
      <c r="F41" s="48"/>
      <c r="G41" s="31"/>
      <c r="H41" s="181"/>
      <c r="J41" s="88" t="s">
        <v>42</v>
      </c>
      <c r="L41" s="19"/>
      <c r="N41" s="19"/>
      <c r="O41" s="48"/>
      <c r="P41" s="31"/>
      <c r="Q41" s="48"/>
      <c r="R41" s="31"/>
      <c r="S41" s="31"/>
      <c r="T41" s="31"/>
      <c r="U41" s="31"/>
    </row>
    <row r="42" spans="1:25" s="64" customFormat="1">
      <c r="B42" s="31"/>
      <c r="C42" s="31"/>
      <c r="D42" s="181"/>
      <c r="E42" s="48"/>
      <c r="F42" s="48"/>
      <c r="G42" s="31"/>
      <c r="H42" s="181"/>
      <c r="J42" s="88" t="s">
        <v>23</v>
      </c>
      <c r="K42" s="64" t="str">
        <f>K28</f>
        <v>selected(data('q16102'),'1') &amp;&amp; selected(data('q16101'),'1')</v>
      </c>
      <c r="L42" s="19"/>
      <c r="N42" s="19"/>
      <c r="O42" s="48"/>
      <c r="P42" s="31"/>
      <c r="Q42" s="48"/>
      <c r="R42" s="31"/>
      <c r="S42" s="31"/>
      <c r="T42" s="31"/>
      <c r="U42" s="31"/>
    </row>
    <row r="43" spans="1:25" s="64" customFormat="1" ht="120">
      <c r="A43" s="19" t="str">
        <f>CONCATENATE("q",$I43)</f>
        <v>q16111</v>
      </c>
      <c r="B43" s="31" t="s">
        <v>451</v>
      </c>
      <c r="C43" s="31"/>
      <c r="D43" s="127" t="str">
        <f>CONCATENATE(INDEX(choices!D:D,MATCH(M43,choices!A:A,0)),"
",IF(M43=INDEX(choices!A:A,MATCH(M43,choices!A:A,0)+1),INDEX(choices!D:D,MATCH(M43,choices!A:A,0)+1),""),IF(M43=INDEX(choices!A:A,MATCH(M43,choices!A:A,0)+1), "
",""),IF(M43=INDEX(choices!A:A,MATCH(M43,choices!A:A,0)+2),INDEX(choices!D:D,MATCH(M43,choices!A:A,0)+2),""),IF(M43=INDEX(choices!A:A,MATCH(M43,choices!A:A,0)+2), "
",""),IF(M43=INDEX(choices!A:A,MATCH(M43,choices!A:A,0)+3),INDEX(choices!D:D,MATCH(M43,choices!A:A,0)+3),""),IF(M43=INDEX(choices!A:A,MATCH(M43,choices!A:A,0)+3), "
",""),IF(M43=INDEX(choices!A:A,MATCH(M43,choices!A:A,0)+4),INDEX(choices!D:D,MATCH(M43,choices!A:A,0)+4),""),IF(M43=INDEX(choices!A:A,MATCH(M43,choices!A:A,0)+4), "
",""),IF(M43=INDEX(choices!A:A,MATCH(M43,choices!A:A,0)+5),INDEX(choices!D:D,MATCH(M43,choices!A:A,0)+5),""),IF(M43=INDEX(choices!A:A,MATCH(M43,choices!A:A,0)+5), "
",""),IF(M43=INDEX(choices!A:A,MATCH(M43,choices!A:A,0)+6),INDEX(choices!D:D,MATCH(M43,choices!A:A,0)+6),""),IF(M43=INDEX(choices!A:A,MATCH(M43,choices!A:A,0)+6), "
",""),IF(M43=INDEX(choices!A:A,MATCH(M43,choices!A:A,0)+7),INDEX(choices!D:D,MATCH(M43,choices!A:A,0)+7),""),IF(M43=INDEX(choices!A:A,MATCH(M43,choices!A:A,0)+7), "
",""),IF(M43=INDEX(choices!A:A,MATCH(M43,choices!A:A,0)+8),INDEX(choices!D:D,MATCH(M43,choices!A:A,0)+8),""),IF(M43=INDEX(choices!A:A,MATCH(M43,choices!A:A,0)+8), "
",""),IF(M43=INDEX(choices!A:A,MATCH(M43,choices!A:A,0)+9),INDEX(choices!D:D,MATCH(M43,choices!A:A,0)+9),""),IF(M43=INDEX(choices!A:A,MATCH(M43,choices!A:A,0)+9), "
",""),IF(M43=INDEX(choices!A:A,MATCH(M43,choices!A:A,0)+10),INDEX(choices!D:D,MATCH(M43,choices!A:A,0)+10),""),IF(M43=INDEX(choices!A:A,MATCH(M43,choices!A:A,0)+10), "
",""),IF(M43=INDEX(choices!A:A,MATCH(M43,choices!A:A,0)+11),INDEX(choices!D:D,MATCH(M43,choices!A:A,0)+11),""),IF(M43=INDEX(choices!A:A,MATCH(M43,choices!A:A,0)+11), "
",""),IF(M43=INDEX(choices!A:A,MATCH(M43,choices!A:A,0)+12),INDEX(choices!D:D,MATCH(M43,choices!A:A,0)+12),""),IF(M43=INDEX(choices!A:A,MATCH(M43,choices!A:A,0)+12), "
",""),IF(M43=INDEX(choices!A:A,MATCH(M43,choices!A:A,0)+13),INDEX(choices!D:D,MATCH(M43,choices!A:A,0)+13),""),IF(M43=INDEX(choices!A:A,MATCH(M43,choices!A:A,0)+13), "
",""),IF(M43=INDEX(choices!A:A,MATCH(M43,choices!A:A,0)+14),INDEX(choices!D:D,MATCH(M43,choices!A:A,0)+14),""),IF(M43=INDEX(choices!A:A,MATCH(M43,choices!A:A,0)+14), "
",""),IF(M43=INDEX(choices!A:A,MATCH(M43,choices!A:A,0)+15),INDEX(choices!D:D,MATCH(M43,choices!A:A,0)+15),""),IF(M43=INDEX(choices!A:A,MATCH(M43,choices!A:A,0)+15), "
",""),IF(M43=INDEX(choices!A:A,MATCH(M43,choices!A:A,0)+16),INDEX(choices!D:D,MATCH(M43,choices!A:A,0)+16),""),IF(M43=INDEX(choices!A:A,MATCH(M43,choices!A:A,0)+16), "
",""),IF(M43=INDEX(choices!A:A,MATCH(M43,choices!A:A,0)+17),INDEX(choices!D:D,MATCH(M43,choices!A:A,0)+17),""),IF(M43=INDEX(choices!A:A,MATCH(M43,choices!A:A,0)+17), "
",""),IF(M43=INDEX(choices!A:A,MATCH(M43,choices!A:A,0)+18),INDEX(choices!D:D,MATCH(M43,choices!A:A,0)+18),""),IF(M43=INDEX(choices!A:A,MATCH(M43,choices!A:A,0)+18), "
",""),IF(M43=INDEX(choices!A:A,MATCH(M43,choices!A:A,0)+19),INDEX(choices!D:D,MATCH(M43,choices!A:A,0)+19),""),IF(M43=INDEX(choices!A:A,MATCH(M43,choices!A:A,0)+19), "
",""),IF(M43=INDEX(choices!A:A,MATCH(M43,choices!A:A,0)+20),INDEX(choices!D:D,MATCH(M43,choices!A:A,0)+20),""),IF(M43=INDEX(choices!A:A,MATCH(M43,choices!A:A,0)+20), "
",""))</f>
        <v xml:space="preserve">1.Yes, total rent of some total rent and some shared rent
2. Yes, only shared rent
3. No
</v>
      </c>
      <c r="E43" s="294" t="s">
        <v>1008</v>
      </c>
      <c r="F43" s="294"/>
      <c r="G43" s="67" t="str">
        <f>CONCATENATE(INDEX(choices!C:C,MATCH(M43,choices!A:A,0)),"
",IF(M43=INDEX(choices!A:A,MATCH(M43,choices!A:A,0)+1),INDEX(choices!C:C,MATCH(M43,choices!A:A,0)+1),""),IF(M43=INDEX(choices!A:A,MATCH(M43,choices!A:A,0)+1), "
",""),IF(M43=INDEX(choices!A:A,MATCH(M43,choices!A:A,0)+2),INDEX(choices!C:C,MATCH(M43,choices!A:A,0)+2),""),IF(M43=INDEX(choices!A:A,MATCH(M43,choices!A:A,0)+2), "
",""),IF(M43=INDEX(choices!A:A,MATCH(M43,choices!A:A,0)+3),INDEX(choices!C:C,MATCH(M43,choices!A:A,0)+3),""),IF(M43=INDEX(choices!A:A,MATCH(M43,choices!A:A,0)+3), "
",""),IF(M43=INDEX(choices!A:A,MATCH(M43,choices!A:A,0)+4),INDEX(choices!C:C,MATCH(M43,choices!A:A,0)+4),""),IF(M43=INDEX(choices!A:A,MATCH(M43,choices!A:A,0)+4), "
",""),IF(M43=INDEX(choices!A:A,MATCH(M43,choices!A:A,0)+5),INDEX(choices!C:C,MATCH(M43,choices!A:A,0)+5),""),IF(M43=INDEX(choices!A:A,MATCH(M43,choices!A:A,0)+5), "
",""),IF(M43=INDEX(choices!A:A,MATCH(M43,choices!A:A,0)+6),INDEX(choices!C:C,MATCH(M43,choices!A:A,0)+6),""),IF(M43=INDEX(choices!A:A,MATCH(M43,choices!A:A,0)+6), "
",""),IF(M43=INDEX(choices!A:A,MATCH(M43,choices!A:A,0)+7),INDEX(choices!C:C,MATCH(M43,choices!A:A,0)+7),""),IF(M43=INDEX(choices!A:A,MATCH(M43,choices!A:A,0)+7), "
",""),IF(M43=INDEX(choices!A:A,MATCH(M43,choices!A:A,0)+8),INDEX(choices!C:C,MATCH(M43,choices!A:A,0)+8),""),IF(M43=INDEX(choices!A:A,MATCH(M43,choices!A:A,0)+8), "
",""),IF(M43=INDEX(choices!A:A,MATCH(M43,choices!A:A,0)+9),INDEX(choices!C:C,MATCH(M43,choices!A:A,0)+9),""),IF(M43=INDEX(choices!A:A,MATCH(M43,choices!A:A,0)+9), "
",""),IF(M43=INDEX(choices!A:A,MATCH(M43,choices!A:A,0)+10),INDEX(choices!C:C,MATCH(M43,choices!A:A,0)+10),""),IF(M43=INDEX(choices!A:A,MATCH(M43,choices!A:A,0)+10), "
",""),IF(M43=INDEX(choices!A:A,MATCH(M43,choices!A:A,0)+11),INDEX(choices!C:C,MATCH(M43,choices!A:A,0)+11),""),IF(M43=INDEX(choices!A:A,MATCH(M43,choices!A:A,0)+11), "
",""),IF(M43=INDEX(choices!A:A,MATCH(M43,choices!A:A,0)+12),INDEX(choices!C:C,MATCH(M43,choices!A:A,0)+12),""),IF(M43=INDEX(choices!A:A,MATCH(M43,choices!A:A,0)+12), "
",""),IF(M43=INDEX(choices!A:A,MATCH(M43,choices!A:A,0)+13),INDEX(choices!C:C,MATCH(M43,choices!A:A,0)+13),""),IF(M43=INDEX(choices!A:A,MATCH(M43,choices!A:A,0)+13), "
",""),IF(M43=INDEX(choices!A:A,MATCH(M43,choices!A:A,0)+14),INDEX(choices!C:C,MATCH(M43,choices!A:A,0)+14),""),IF(M43=INDEX(choices!A:A,MATCH(M43,choices!A:A,0)+14), "
",""),IF(M43=INDEX(choices!A:A,MATCH(M43,choices!A:A,0)+15),INDEX(choices!C:C,MATCH(M43,choices!A:A,0)+15),""),IF(M43=INDEX(choices!A:A,MATCH(M43,choices!A:A,0)+15), "
",""),IF(M43=INDEX(choices!A:A,MATCH(M43,choices!A:A,0)+16),INDEX(choices!C:C,MATCH(M43,choices!A:A,0)+16),""),IF(M43=INDEX(choices!A:A,MATCH(M43,choices!A:A,0)+16), "
",""),IF(M43=INDEX(choices!A:A,MATCH(M43,choices!A:A,0)+17),INDEX(choices!C:C,MATCH(M43,choices!A:A,0)+17),""),IF(M43=INDEX(choices!A:A,MATCH(M43,choices!A:A,0)+17), "
",""),IF(M43=INDEX(choices!A:A,MATCH(M43,choices!A:A,0)+18),INDEX(choices!C:C,MATCH(M43,choices!A:A,0)+18),""),IF(M43=INDEX(choices!A:A,MATCH(M43,choices!A:A,0)+18), "
",""),IF(M43=INDEX(choices!A:A,MATCH(M43,choices!A:A,0)+19),INDEX(choices!C:C,MATCH(M43,choices!A:A,0)+19),""),IF(M43=INDEX(choices!A:A,MATCH(M43,choices!A:A,0)+19), "
",""),IF(M43=INDEX(choices!A:A,MATCH(M43,choices!A:A,0)+20),INDEX(choices!C:C,MATCH(M43,choices!A:A,0)+20),""),IF(M43=INDEX(choices!A:A,MATCH(M43,choices!A:A,0)+20), "
","")," ")</f>
        <v xml:space="preserve">1. نعم، تأجير خلص/جزء تأجير خلص وجزء تأجير مشاركة 
2. نعم، تأجير مشاركة فقط
3. لا
 </v>
      </c>
      <c r="H43" s="164" t="str">
        <f>CONCATENATE("If 2.  ---&gt;",I54,"
3. ---&gt;",I65 )</f>
        <v>If 2.  ---&gt;16113
3. ---&gt;16115</v>
      </c>
      <c r="I43" s="64">
        <f>I39+1</f>
        <v>16111</v>
      </c>
      <c r="J43" s="66"/>
      <c r="L43" s="19" t="s">
        <v>18</v>
      </c>
      <c r="M43" s="64" t="s">
        <v>301</v>
      </c>
      <c r="N43" s="19" t="str">
        <f>CONCATENATE("q",I43)</f>
        <v>q16111</v>
      </c>
      <c r="O43" s="48" t="str">
        <f>CONCATENATE(I43, ". ", E43)</f>
        <v>16111. هل تمّ تأجير أي أراضي خلال الـ12 شهر الماضية؟</v>
      </c>
      <c r="P43" s="31" t="str">
        <f>CONCATENATE(I43, ". ", B43)</f>
        <v>16111. Was any land rented out in the last 12 months?</v>
      </c>
      <c r="Q43" s="48"/>
      <c r="R43" s="31"/>
      <c r="S43" s="28" t="str">
        <f>CONCATENATE($K$10, " &amp;&amp; ", $S$6)</f>
        <v>selected(data('q16102'),'1') &amp;&amp; selected(data('q16101'),'1') &amp;&amp; data('valid_overall') == 1</v>
      </c>
      <c r="T43" s="31"/>
      <c r="U43" s="31"/>
      <c r="Y43" s="64" t="b">
        <v>1</v>
      </c>
    </row>
    <row r="44" spans="1:25" s="64" customFormat="1">
      <c r="A44" s="19"/>
      <c r="B44" s="31"/>
      <c r="C44" s="31"/>
      <c r="D44" s="127"/>
      <c r="E44" s="48"/>
      <c r="F44" s="48"/>
      <c r="G44" s="67"/>
      <c r="H44" s="164"/>
      <c r="J44" s="88" t="s">
        <v>24</v>
      </c>
      <c r="L44" s="19"/>
      <c r="N44" s="19"/>
      <c r="O44" s="48"/>
      <c r="P44" s="31"/>
      <c r="Q44" s="48"/>
      <c r="R44" s="31"/>
      <c r="S44" s="28"/>
      <c r="T44" s="31"/>
      <c r="U44" s="31"/>
    </row>
    <row r="45" spans="1:25" s="64" customFormat="1">
      <c r="B45" s="31"/>
      <c r="C45" s="31"/>
      <c r="D45" s="181"/>
      <c r="E45" s="48"/>
      <c r="F45" s="48"/>
      <c r="G45" s="31"/>
      <c r="H45" s="181"/>
      <c r="J45" s="88" t="s">
        <v>23</v>
      </c>
      <c r="K45" s="64" t="str">
        <f>CONCATENATE("selected(data('",N43,"'),'1') &amp;&amp;", K42)</f>
        <v>selected(data('q16111'),'1') &amp;&amp;selected(data('q16102'),'1') &amp;&amp; selected(data('q16101'),'1')</v>
      </c>
      <c r="L45" s="19"/>
      <c r="N45" s="19"/>
      <c r="O45" s="48"/>
      <c r="P45" s="31"/>
      <c r="Q45" s="48"/>
      <c r="R45" s="31"/>
      <c r="S45" s="31"/>
      <c r="T45" s="31"/>
      <c r="U45" s="31"/>
    </row>
    <row r="46" spans="1:25" s="64" customFormat="1">
      <c r="B46" s="31"/>
      <c r="C46" s="31"/>
      <c r="D46" s="181"/>
      <c r="E46" s="48"/>
      <c r="F46" s="48"/>
      <c r="G46" s="31"/>
      <c r="H46" s="181"/>
      <c r="J46" s="92" t="s">
        <v>20</v>
      </c>
      <c r="L46" s="19"/>
      <c r="N46" s="19"/>
      <c r="O46" s="48"/>
      <c r="P46" s="31"/>
      <c r="Q46" s="48"/>
      <c r="R46" s="31"/>
      <c r="S46" s="31"/>
      <c r="T46" s="31"/>
      <c r="U46" s="31"/>
    </row>
    <row r="47" spans="1:25" s="64" customFormat="1" ht="60">
      <c r="B47" s="31" t="s">
        <v>450</v>
      </c>
      <c r="C47" s="48" t="str">
        <f>CONCATENATE("Hints: ", R47)</f>
        <v>Hints: Write 99998 if don’t know</v>
      </c>
      <c r="D47" s="201"/>
      <c r="E47" s="294" t="s">
        <v>1009</v>
      </c>
      <c r="F47" s="48" t="str">
        <f>CONCATENATE("Hints: ",Q47, )</f>
        <v>Hints: في حالة "لا أعرف"، سجل 999998</v>
      </c>
      <c r="G47" s="31"/>
      <c r="H47" s="181"/>
      <c r="I47" s="64">
        <f>I43+1</f>
        <v>16112</v>
      </c>
      <c r="J47" s="92"/>
      <c r="L47" s="19" t="s">
        <v>22</v>
      </c>
      <c r="N47" s="19"/>
      <c r="O47" s="312" t="str">
        <f>E47</f>
        <v>ما مساحة الأراضي التي تم تأجيرها خلص خلال الـ12 شهر الماضية؟</v>
      </c>
      <c r="P47" s="117" t="str">
        <f>B47</f>
        <v>How much land was rented out in total rent in the last 12 months?</v>
      </c>
      <c r="Q47" s="313" t="s">
        <v>1022</v>
      </c>
      <c r="R47" s="117" t="s">
        <v>1019</v>
      </c>
      <c r="S47" s="31"/>
      <c r="T47" s="117"/>
      <c r="U47" s="117"/>
      <c r="V47" s="45"/>
      <c r="W47" s="45"/>
      <c r="X47" s="45"/>
      <c r="Y47" s="64" t="b">
        <v>1</v>
      </c>
    </row>
    <row r="48" spans="1:25" s="64" customFormat="1" ht="195">
      <c r="A48" s="19" t="str">
        <f>CONCATENATE("q",$I48)</f>
        <v>q16112_1</v>
      </c>
      <c r="B48" s="31" t="s">
        <v>445</v>
      </c>
      <c r="C48" s="31"/>
      <c r="D48" s="181"/>
      <c r="E48" s="48" t="s">
        <v>750</v>
      </c>
      <c r="F48" s="48"/>
      <c r="G48" s="31"/>
      <c r="H48" s="181"/>
      <c r="I48" s="19" t="str">
        <f>CONCATENATE(I47,"_1")</f>
        <v>16112_1</v>
      </c>
      <c r="J48" s="92"/>
      <c r="L48" s="19" t="s">
        <v>443</v>
      </c>
      <c r="N48" s="19" t="str">
        <f>CONCATENATE("q",I48)</f>
        <v>q16112_1</v>
      </c>
      <c r="O48" s="48" t="str">
        <f>CONCATENATE(I48, ". ", E48)</f>
        <v>16112_1. قيراط</v>
      </c>
      <c r="P48" s="31" t="str">
        <f>CONCATENATE(I48, ". ", B48)</f>
        <v>16112_1. Kirat</v>
      </c>
      <c r="Q48" s="455" t="s">
        <v>1488</v>
      </c>
      <c r="R48" s="300" t="s">
        <v>1489</v>
      </c>
      <c r="S48" s="28" t="str">
        <f>CONCATENATE($K$45, " &amp;&amp; ", $S$6)</f>
        <v>selected(data('q16111'),'1') &amp;&amp;selected(data('q16102'),'1') &amp;&amp; selected(data('q16101'),'1') &amp;&amp; data('valid_overall') == 1</v>
      </c>
      <c r="T48" s="31"/>
      <c r="U48" s="31"/>
      <c r="V48" s="28" t="str">
        <f>CONCATENATE("((data('",N48,"')&gt;=0 &amp; data('",N48,"')&lt;=23) || data('",N48,"')==999998) || data('valid_overall') == 0 || selected(data('",N6,"'), '2') || selected(data('",N8,"'), '2') || selected(data('",N43,"'), '2') || selected(data('",N43,"'), '3')")</f>
        <v>((data('q16112_1')&gt;=0 &amp; data('q16112_1')&lt;=23) || data('q16112_1')==999998) || data('valid_overall') == 0 || selected(data('q16101'), '2') || selected(data('q16102'), '2') || selected(data('q16111'), '2') || selected(data('q16111'), '3')</v>
      </c>
      <c r="Y48" s="64" t="b">
        <v>1</v>
      </c>
    </row>
    <row r="49" spans="1:25" s="64" customFormat="1" ht="60">
      <c r="A49" s="19" t="str">
        <f>CONCATENATE("q",$I49)</f>
        <v>q16112_2</v>
      </c>
      <c r="B49" s="31" t="s">
        <v>444</v>
      </c>
      <c r="C49" s="31"/>
      <c r="D49" s="181"/>
      <c r="E49" s="48" t="s">
        <v>749</v>
      </c>
      <c r="F49" s="48"/>
      <c r="G49" s="31"/>
      <c r="H49" s="181"/>
      <c r="I49" s="19" t="str">
        <f>CONCATENATE(I47,"_2")</f>
        <v>16112_2</v>
      </c>
      <c r="J49" s="92"/>
      <c r="L49" s="19" t="s">
        <v>443</v>
      </c>
      <c r="N49" s="19" t="str">
        <f>CONCATENATE("q",I49)</f>
        <v>q16112_2</v>
      </c>
      <c r="O49" s="48" t="str">
        <f>CONCATENATE(I49, ". ", E49)</f>
        <v>16112_2. فدان</v>
      </c>
      <c r="P49" s="31" t="str">
        <f>CONCATENATE(I49, ". ", B49)</f>
        <v>16112_2. Fedan</v>
      </c>
      <c r="Q49" s="50" t="s">
        <v>1490</v>
      </c>
      <c r="R49" s="300" t="s">
        <v>1491</v>
      </c>
      <c r="S49" s="28" t="str">
        <f>CONCATENATE($K$45, " &amp;&amp; ", $S$6)</f>
        <v>selected(data('q16111'),'1') &amp;&amp;selected(data('q16102'),'1') &amp;&amp; selected(data('q16101'),'1') &amp;&amp; data('valid_overall') == 1</v>
      </c>
      <c r="T49" s="31"/>
      <c r="U49" s="31"/>
      <c r="Y49" s="64" t="b">
        <v>1</v>
      </c>
    </row>
    <row r="50" spans="1:25" s="64" customFormat="1">
      <c r="B50" s="31"/>
      <c r="C50" s="31"/>
      <c r="D50" s="181"/>
      <c r="E50" s="48"/>
      <c r="F50" s="48"/>
      <c r="G50" s="31"/>
      <c r="H50" s="181"/>
      <c r="J50" s="92" t="s">
        <v>21</v>
      </c>
      <c r="L50" s="19"/>
      <c r="N50" s="19"/>
      <c r="O50" s="48"/>
      <c r="P50" s="31"/>
      <c r="Q50" s="48"/>
      <c r="R50" s="31"/>
      <c r="S50" s="31"/>
      <c r="T50" s="31"/>
      <c r="U50" s="31"/>
    </row>
    <row r="51" spans="1:25" s="64" customFormat="1">
      <c r="B51" s="31"/>
      <c r="C51" s="31"/>
      <c r="D51" s="181"/>
      <c r="E51" s="48"/>
      <c r="F51" s="48"/>
      <c r="G51" s="31"/>
      <c r="H51" s="181"/>
      <c r="J51" s="88" t="s">
        <v>24</v>
      </c>
      <c r="L51" s="19"/>
      <c r="N51" s="19"/>
      <c r="O51" s="48"/>
      <c r="P51" s="31"/>
      <c r="Q51" s="48"/>
      <c r="R51" s="31"/>
      <c r="S51" s="31"/>
      <c r="T51" s="31"/>
      <c r="U51" s="31"/>
    </row>
    <row r="52" spans="1:25" s="64" customFormat="1">
      <c r="B52" s="31"/>
      <c r="C52" s="31"/>
      <c r="D52" s="181"/>
      <c r="E52" s="48"/>
      <c r="F52" s="48"/>
      <c r="G52" s="31"/>
      <c r="H52" s="181"/>
      <c r="J52" s="88" t="s">
        <v>51</v>
      </c>
      <c r="K52" s="64" t="str">
        <f>CONCATENATE("(selected(data('",N43,"'),'1')|| selected(data('",N43,"'),'2')) &amp;&amp;", K42)</f>
        <v>(selected(data('q16111'),'1')|| selected(data('q16111'),'2')) &amp;&amp;selected(data('q16102'),'1') &amp;&amp; selected(data('q16101'),'1')</v>
      </c>
      <c r="L52" s="19"/>
      <c r="N52" s="19"/>
      <c r="O52" s="48"/>
      <c r="P52" s="31"/>
      <c r="Q52" s="48"/>
      <c r="R52" s="31"/>
      <c r="S52" s="31"/>
      <c r="T52" s="31"/>
      <c r="U52" s="31"/>
    </row>
    <row r="53" spans="1:25" s="64" customFormat="1">
      <c r="B53" s="31"/>
      <c r="C53" s="31"/>
      <c r="D53" s="181"/>
      <c r="E53" s="48"/>
      <c r="F53" s="48"/>
      <c r="G53" s="31"/>
      <c r="H53" s="181"/>
      <c r="J53" s="22" t="s">
        <v>20</v>
      </c>
      <c r="L53" s="19"/>
      <c r="N53" s="19"/>
      <c r="O53" s="48"/>
      <c r="P53" s="31"/>
      <c r="Q53" s="48"/>
      <c r="R53" s="31"/>
      <c r="S53" s="31"/>
      <c r="T53" s="31"/>
      <c r="U53" s="31"/>
    </row>
    <row r="54" spans="1:25" s="64" customFormat="1" ht="75">
      <c r="B54" s="31" t="s">
        <v>756</v>
      </c>
      <c r="C54" s="48" t="str">
        <f>CONCATENATE("Hints: ", R54)</f>
        <v>Hints: Write 99998 if don’t know</v>
      </c>
      <c r="D54" s="201"/>
      <c r="E54" s="294" t="s">
        <v>1010</v>
      </c>
      <c r="F54" s="48" t="str">
        <f>CONCATENATE("Hints: ",Q54, )</f>
        <v>Hints: في حالة "لا أعرف"، سجل 999998</v>
      </c>
      <c r="G54" s="31"/>
      <c r="H54" s="181"/>
      <c r="I54" s="64">
        <f>I47+1</f>
        <v>16113</v>
      </c>
      <c r="J54" s="92"/>
      <c r="L54" s="19" t="s">
        <v>22</v>
      </c>
      <c r="N54" s="19"/>
      <c r="O54" s="312" t="str">
        <f>E54</f>
        <v>ما مساحة الأراضي التي تم تأجيرها مشاركة خلال الـ12 شهر الماضية؟</v>
      </c>
      <c r="P54" s="117" t="str">
        <f>B54</f>
        <v>How much land was rented out for sharecropping in the last 12 months?</v>
      </c>
      <c r="Q54" s="313" t="s">
        <v>1022</v>
      </c>
      <c r="R54" s="117" t="s">
        <v>1019</v>
      </c>
      <c r="S54" s="31"/>
      <c r="T54" s="117"/>
      <c r="U54" s="117"/>
      <c r="V54" s="45"/>
      <c r="W54" s="45"/>
      <c r="X54" s="45"/>
      <c r="Y54" s="64" t="b">
        <v>1</v>
      </c>
    </row>
    <row r="55" spans="1:25" s="64" customFormat="1" ht="165">
      <c r="A55" s="19" t="str">
        <f>CONCATENATE("q",$I55)</f>
        <v>q16113_1</v>
      </c>
      <c r="B55" s="31" t="s">
        <v>445</v>
      </c>
      <c r="C55" s="31"/>
      <c r="D55" s="181"/>
      <c r="E55" s="78" t="s">
        <v>750</v>
      </c>
      <c r="F55" s="78"/>
      <c r="G55" s="31"/>
      <c r="H55" s="181"/>
      <c r="I55" s="19" t="str">
        <f>CONCATENATE(I54,"_1")</f>
        <v>16113_1</v>
      </c>
      <c r="J55" s="92"/>
      <c r="L55" s="19" t="s">
        <v>443</v>
      </c>
      <c r="N55" s="19" t="str">
        <f>CONCATENATE("q",I55)</f>
        <v>q16113_1</v>
      </c>
      <c r="O55" s="48" t="str">
        <f>CONCATENATE(I55, ". ", E55)</f>
        <v>16113_1. قيراط</v>
      </c>
      <c r="P55" s="31" t="str">
        <f>CONCATENATE(I55, ". ", B55)</f>
        <v>16113_1. Kirat</v>
      </c>
      <c r="Q55" s="455" t="s">
        <v>1488</v>
      </c>
      <c r="R55" s="300" t="s">
        <v>1489</v>
      </c>
      <c r="S55" s="28" t="str">
        <f>CONCATENATE($K$52, " &amp;&amp; ", $S$6)</f>
        <v>(selected(data('q16111'),'1')|| selected(data('q16111'),'2')) &amp;&amp;selected(data('q16102'),'1') &amp;&amp; selected(data('q16101'),'1') &amp;&amp; data('valid_overall') == 1</v>
      </c>
      <c r="T55" s="31"/>
      <c r="U55" s="31"/>
      <c r="V55" s="28" t="str">
        <f>CONCATENATE("((data('",N55,"')&gt;=0 &amp; data('",N55,"')&lt;=23) || data('",N55,"')==999998) || data('valid_overall') == 0 || selected(data('",N6,"'), '2') || selected(data('",N8,"'), '2') || selected(data('",N43,"'), '3')")</f>
        <v>((data('q16113_1')&gt;=0 &amp; data('q16113_1')&lt;=23) || data('q16113_1')==999998) || data('valid_overall') == 0 || selected(data('q16101'), '2') || selected(data('q16102'), '2') || selected(data('q16111'), '3')</v>
      </c>
      <c r="Y55" s="64" t="b">
        <v>1</v>
      </c>
    </row>
    <row r="56" spans="1:25" s="64" customFormat="1" ht="75">
      <c r="A56" s="19" t="str">
        <f>CONCATENATE("q",$I56)</f>
        <v>q16113_2</v>
      </c>
      <c r="B56" s="31" t="s">
        <v>444</v>
      </c>
      <c r="C56" s="31"/>
      <c r="D56" s="181"/>
      <c r="E56" s="78" t="s">
        <v>749</v>
      </c>
      <c r="F56" s="78"/>
      <c r="G56" s="31"/>
      <c r="H56" s="181"/>
      <c r="I56" s="19" t="str">
        <f>CONCATENATE(I54,"_2")</f>
        <v>16113_2</v>
      </c>
      <c r="J56" s="92"/>
      <c r="L56" s="19" t="s">
        <v>443</v>
      </c>
      <c r="N56" s="19" t="str">
        <f>CONCATENATE("q",I56)</f>
        <v>q16113_2</v>
      </c>
      <c r="O56" s="48" t="str">
        <f>CONCATENATE(I56, ". ", E56)</f>
        <v>16113_2. فدان</v>
      </c>
      <c r="P56" s="31" t="str">
        <f>CONCATENATE(I56, ". ", B56)</f>
        <v>16113_2. Fedan</v>
      </c>
      <c r="Q56" s="50" t="s">
        <v>1490</v>
      </c>
      <c r="R56" s="300" t="s">
        <v>1491</v>
      </c>
      <c r="S56" s="28" t="str">
        <f>CONCATENATE($K$52, " &amp;&amp; ", $S$6)</f>
        <v>(selected(data('q16111'),'1')|| selected(data('q16111'),'2')) &amp;&amp;selected(data('q16102'),'1') &amp;&amp; selected(data('q16101'),'1') &amp;&amp; data('valid_overall') == 1</v>
      </c>
      <c r="T56" s="31"/>
      <c r="U56" s="31"/>
      <c r="Y56" s="64" t="b">
        <v>1</v>
      </c>
    </row>
    <row r="57" spans="1:25" s="64" customFormat="1">
      <c r="B57" s="31"/>
      <c r="C57" s="31"/>
      <c r="D57" s="181"/>
      <c r="E57" s="48"/>
      <c r="F57" s="48"/>
      <c r="G57" s="31"/>
      <c r="H57" s="181"/>
      <c r="J57" s="22" t="s">
        <v>21</v>
      </c>
      <c r="L57" s="19"/>
      <c r="N57" s="19"/>
      <c r="O57" s="48"/>
      <c r="P57" s="31"/>
      <c r="Q57" s="48"/>
      <c r="R57" s="31"/>
      <c r="S57" s="31"/>
      <c r="T57" s="31"/>
      <c r="U57" s="31"/>
    </row>
    <row r="58" spans="1:25" s="64" customFormat="1">
      <c r="B58" s="31"/>
      <c r="C58" s="31"/>
      <c r="D58" s="181"/>
      <c r="E58" s="48"/>
      <c r="F58" s="48"/>
      <c r="G58" s="31"/>
      <c r="H58" s="181"/>
      <c r="J58" s="22" t="s">
        <v>20</v>
      </c>
      <c r="L58" s="19"/>
      <c r="N58" s="19"/>
      <c r="O58" s="48"/>
      <c r="P58" s="31"/>
      <c r="Q58" s="48"/>
      <c r="R58" s="31"/>
      <c r="S58" s="31"/>
      <c r="T58" s="31"/>
      <c r="U58" s="31"/>
    </row>
    <row r="59" spans="1:25" s="64" customFormat="1" ht="75">
      <c r="A59" s="19" t="str">
        <f>CONCATENATE("q",$I59)</f>
        <v>q16114</v>
      </c>
      <c r="B59" s="31" t="s">
        <v>718</v>
      </c>
      <c r="C59" s="48" t="str">
        <f>CONCATENATE("Hints: ", R59)</f>
        <v>Hints: Value (in pound). Write 999998 if don’t know. Write 0 if gift or inherited</v>
      </c>
      <c r="D59" s="201"/>
      <c r="E59" s="48" t="s">
        <v>757</v>
      </c>
      <c r="F59" s="48" t="str">
        <f>CONCATENATE("Hints: ",Q59, )</f>
        <v>Hints: في حالة "لا أعرف"، سجل 999998
إذا كانت هبة أو إرث، سجل 0</v>
      </c>
      <c r="G59" s="31"/>
      <c r="H59" s="181"/>
      <c r="I59" s="64">
        <f>I54+1</f>
        <v>16114</v>
      </c>
      <c r="J59" s="92"/>
      <c r="L59" s="64" t="s">
        <v>22</v>
      </c>
      <c r="N59" s="19" t="str">
        <f>CONCATENATE("q",I59)</f>
        <v>q16114</v>
      </c>
      <c r="O59" s="312" t="str">
        <f>E59</f>
        <v xml:space="preserve">ما هو المبلغ الذي حصلت عليه من تأجير تلك الأراضي(بما فيه إيرادات عينية)؟
</v>
      </c>
      <c r="P59" s="117" t="str">
        <f>B59</f>
        <v xml:space="preserve">How much did your household receive form this? (incl. Payment in kind). </v>
      </c>
      <c r="Q59" s="313" t="s">
        <v>1021</v>
      </c>
      <c r="R59" s="117" t="s">
        <v>751</v>
      </c>
      <c r="S59" s="31"/>
      <c r="T59" s="117"/>
      <c r="U59" s="117"/>
      <c r="V59" s="45"/>
      <c r="W59" s="45"/>
      <c r="X59" s="45"/>
      <c r="Y59" s="64" t="b">
        <v>1</v>
      </c>
    </row>
    <row r="60" spans="1:25" s="64" customFormat="1" ht="75">
      <c r="A60" s="19" t="str">
        <f>CONCATENATE("q",$I60)</f>
        <v>q16114_1</v>
      </c>
      <c r="B60" s="31" t="s">
        <v>449</v>
      </c>
      <c r="C60" s="31"/>
      <c r="D60" s="181"/>
      <c r="E60" s="294" t="s">
        <v>1011</v>
      </c>
      <c r="F60" s="294"/>
      <c r="G60" s="31"/>
      <c r="H60" s="181"/>
      <c r="I60" s="19" t="str">
        <f>CONCATENATE(I59,"_1")</f>
        <v>16114_1</v>
      </c>
      <c r="J60" s="92"/>
      <c r="L60" s="19" t="s">
        <v>443</v>
      </c>
      <c r="N60" s="19" t="str">
        <f>CONCATENATE("q",I60)</f>
        <v>q16114_1</v>
      </c>
      <c r="O60" s="48" t="str">
        <f>CONCATENATE(I60, ". ", E60)</f>
        <v>16114_1. المبلغ (بالجنيه) من تأجير خلص:</v>
      </c>
      <c r="P60" s="31" t="str">
        <f>CONCATENATE(I60, ". ", B60)</f>
        <v xml:space="preserve">16114_1. Value from renting (in pound): </v>
      </c>
      <c r="Q60" s="48"/>
      <c r="R60" s="31"/>
      <c r="S60" s="28" t="str">
        <f>CONCATENATE($K$52, " &amp;&amp; ", $S$6)</f>
        <v>(selected(data('q16111'),'1')|| selected(data('q16111'),'2')) &amp;&amp;selected(data('q16102'),'1') &amp;&amp; selected(data('q16101'),'1') &amp;&amp; data('valid_overall') == 1</v>
      </c>
      <c r="T60" s="31"/>
      <c r="U60" s="31"/>
      <c r="Y60" s="64" t="b">
        <v>1</v>
      </c>
    </row>
    <row r="61" spans="1:25" s="64" customFormat="1" ht="75">
      <c r="A61" s="19" t="str">
        <f>CONCATENATE("q",$I61)</f>
        <v>q16114_2</v>
      </c>
      <c r="B61" s="31" t="s">
        <v>448</v>
      </c>
      <c r="C61" s="31"/>
      <c r="D61" s="181"/>
      <c r="E61" s="294" t="s">
        <v>1012</v>
      </c>
      <c r="F61" s="294"/>
      <c r="G61" s="31"/>
      <c r="H61" s="181"/>
      <c r="I61" s="19" t="str">
        <f>CONCATENATE(I59,"_2")</f>
        <v>16114_2</v>
      </c>
      <c r="J61" s="92"/>
      <c r="L61" s="19" t="s">
        <v>443</v>
      </c>
      <c r="N61" s="19" t="str">
        <f>CONCATENATE("q",I61)</f>
        <v>q16114_2</v>
      </c>
      <c r="O61" s="48" t="str">
        <f>CONCATENATE(I61, ". ", E61)</f>
        <v>16114_2. المبلغ (بالجنيه) من تأجير مشاركة:</v>
      </c>
      <c r="P61" s="31" t="str">
        <f>CONCATENATE(I61, ". ", B61)</f>
        <v>16114_2. Value from sharecropping (in pound):</v>
      </c>
      <c r="Q61" s="48"/>
      <c r="R61" s="31"/>
      <c r="S61" s="28" t="str">
        <f>CONCATENATE($K$52, " &amp;&amp; ", $S$6)</f>
        <v>(selected(data('q16111'),'1')|| selected(data('q16111'),'2')) &amp;&amp;selected(data('q16102'),'1') &amp;&amp; selected(data('q16101'),'1') &amp;&amp; data('valid_overall') == 1</v>
      </c>
      <c r="T61" s="31"/>
      <c r="U61" s="31"/>
      <c r="Y61" s="64" t="b">
        <v>1</v>
      </c>
    </row>
    <row r="62" spans="1:25" s="64" customFormat="1">
      <c r="B62" s="31"/>
      <c r="C62" s="31"/>
      <c r="D62" s="181"/>
      <c r="E62" s="48"/>
      <c r="F62" s="48"/>
      <c r="G62" s="31"/>
      <c r="H62" s="181"/>
      <c r="J62" s="22" t="s">
        <v>21</v>
      </c>
      <c r="N62" s="19"/>
      <c r="O62" s="48"/>
      <c r="P62" s="31"/>
      <c r="Q62" s="48"/>
      <c r="R62" s="31"/>
      <c r="S62" s="31"/>
      <c r="T62" s="31"/>
      <c r="U62" s="31"/>
    </row>
    <row r="63" spans="1:25" s="64" customFormat="1">
      <c r="B63" s="31"/>
      <c r="C63" s="31"/>
      <c r="D63" s="181"/>
      <c r="E63" s="48"/>
      <c r="F63" s="48"/>
      <c r="G63" s="31"/>
      <c r="H63" s="181"/>
      <c r="J63" s="88" t="s">
        <v>42</v>
      </c>
      <c r="N63" s="19"/>
      <c r="O63" s="48"/>
      <c r="P63" s="31"/>
      <c r="Q63" s="48"/>
      <c r="R63" s="31"/>
      <c r="S63" s="31"/>
      <c r="T63" s="31"/>
      <c r="U63" s="31"/>
    </row>
    <row r="64" spans="1:25" s="64" customFormat="1">
      <c r="B64" s="31"/>
      <c r="C64" s="31"/>
      <c r="D64" s="181"/>
      <c r="E64" s="48"/>
      <c r="F64" s="48"/>
      <c r="G64" s="31"/>
      <c r="H64" s="181"/>
      <c r="J64" s="88" t="s">
        <v>23</v>
      </c>
      <c r="K64" s="64" t="str">
        <f>CONCATENATE("selected(data('",N6,"'),'1')")</f>
        <v>selected(data('q16101'),'1')</v>
      </c>
      <c r="N64" s="19"/>
      <c r="O64" s="48"/>
      <c r="P64" s="31"/>
      <c r="Q64" s="48"/>
      <c r="R64" s="31"/>
      <c r="S64" s="31"/>
      <c r="T64" s="31"/>
      <c r="U64" s="31"/>
    </row>
    <row r="65" spans="1:25" s="64" customFormat="1" ht="60">
      <c r="A65" s="19" t="str">
        <f>CONCATENATE("q",$I65)</f>
        <v>q16115</v>
      </c>
      <c r="B65" s="31" t="s">
        <v>759</v>
      </c>
      <c r="C65" s="31"/>
      <c r="D65" s="127" t="str">
        <f>CONCATENATE(INDEX(choices!D:D,MATCH(M65,choices!A:A,0)),"
",IF(M65=INDEX(choices!A:A,MATCH(M65,choices!A:A,0)+1),INDEX(choices!D:D,MATCH(M65,choices!A:A,0)+1),""),IF(M65=INDEX(choices!A:A,MATCH(M65,choices!A:A,0)+1), "
",""),IF(M65=INDEX(choices!A:A,MATCH(M65,choices!A:A,0)+2),INDEX(choices!D:D,MATCH(M65,choices!A:A,0)+2),""),IF(M65=INDEX(choices!A:A,MATCH(M65,choices!A:A,0)+2), "
",""),IF(M65=INDEX(choices!A:A,MATCH(M65,choices!A:A,0)+3),INDEX(choices!D:D,MATCH(M65,choices!A:A,0)+3),""),IF(M65=INDEX(choices!A:A,MATCH(M65,choices!A:A,0)+3), "
",""),IF(M65=INDEX(choices!A:A,MATCH(M65,choices!A:A,0)+4),INDEX(choices!D:D,MATCH(M65,choices!A:A,0)+4),""),IF(M65=INDEX(choices!A:A,MATCH(M65,choices!A:A,0)+4), "
",""),IF(M65=INDEX(choices!A:A,MATCH(M65,choices!A:A,0)+5),INDEX(choices!D:D,MATCH(M65,choices!A:A,0)+5),""),IF(M65=INDEX(choices!A:A,MATCH(M65,choices!A:A,0)+5), "
",""),IF(M65=INDEX(choices!A:A,MATCH(M65,choices!A:A,0)+6),INDEX(choices!D:D,MATCH(M65,choices!A:A,0)+6),""),IF(M65=INDEX(choices!A:A,MATCH(M65,choices!A:A,0)+6), "
",""),IF(M65=INDEX(choices!A:A,MATCH(M65,choices!A:A,0)+7),INDEX(choices!D:D,MATCH(M65,choices!A:A,0)+7),""),IF(M65=INDEX(choices!A:A,MATCH(M65,choices!A:A,0)+7), "
",""),IF(M65=INDEX(choices!A:A,MATCH(M65,choices!A:A,0)+8),INDEX(choices!D:D,MATCH(M65,choices!A:A,0)+8),""),IF(M65=INDEX(choices!A:A,MATCH(M65,choices!A:A,0)+8), "
",""),IF(M65=INDEX(choices!A:A,MATCH(M65,choices!A:A,0)+9),INDEX(choices!D:D,MATCH(M65,choices!A:A,0)+9),""),IF(M65=INDEX(choices!A:A,MATCH(M65,choices!A:A,0)+9), "
",""),IF(M65=INDEX(choices!A:A,MATCH(M65,choices!A:A,0)+10),INDEX(choices!D:D,MATCH(M65,choices!A:A,0)+10),""),IF(M65=INDEX(choices!A:A,MATCH(M65,choices!A:A,0)+10), "
",""),IF(M65=INDEX(choices!A:A,MATCH(M65,choices!A:A,0)+11),INDEX(choices!D:D,MATCH(M65,choices!A:A,0)+11),""),IF(M65=INDEX(choices!A:A,MATCH(M65,choices!A:A,0)+11), "
",""),IF(M65=INDEX(choices!A:A,MATCH(M65,choices!A:A,0)+12),INDEX(choices!D:D,MATCH(M65,choices!A:A,0)+12),""),IF(M65=INDEX(choices!A:A,MATCH(M65,choices!A:A,0)+12), "
",""),IF(M65=INDEX(choices!A:A,MATCH(M65,choices!A:A,0)+13),INDEX(choices!D:D,MATCH(M65,choices!A:A,0)+13),""),IF(M65=INDEX(choices!A:A,MATCH(M65,choices!A:A,0)+13), "
",""),IF(M65=INDEX(choices!A:A,MATCH(M65,choices!A:A,0)+14),INDEX(choices!D:D,MATCH(M65,choices!A:A,0)+14),""),IF(M65=INDEX(choices!A:A,MATCH(M65,choices!A:A,0)+14), "
",""),IF(M65=INDEX(choices!A:A,MATCH(M65,choices!A:A,0)+15),INDEX(choices!D:D,MATCH(M65,choices!A:A,0)+15),""),IF(M65=INDEX(choices!A:A,MATCH(M65,choices!A:A,0)+15), "
",""),IF(M65=INDEX(choices!A:A,MATCH(M65,choices!A:A,0)+16),INDEX(choices!D:D,MATCH(M65,choices!A:A,0)+16),""),IF(M65=INDEX(choices!A:A,MATCH(M65,choices!A:A,0)+16), "
",""),IF(M65=INDEX(choices!A:A,MATCH(M65,choices!A:A,0)+17),INDEX(choices!D:D,MATCH(M65,choices!A:A,0)+17),""),IF(M65=INDEX(choices!A:A,MATCH(M65,choices!A:A,0)+17), "
",""),IF(M65=INDEX(choices!A:A,MATCH(M65,choices!A:A,0)+18),INDEX(choices!D:D,MATCH(M65,choices!A:A,0)+18),""),IF(M65=INDEX(choices!A:A,MATCH(M65,choices!A:A,0)+18), "
",""),IF(M65=INDEX(choices!A:A,MATCH(M65,choices!A:A,0)+19),INDEX(choices!D:D,MATCH(M65,choices!A:A,0)+19),""),IF(M65=INDEX(choices!A:A,MATCH(M65,choices!A:A,0)+19), "
",""),IF(M65=INDEX(choices!A:A,MATCH(M65,choices!A:A,0)+20),INDEX(choices!D:D,MATCH(M65,choices!A:A,0)+20),""),IF(M65=INDEX(choices!A:A,MATCH(M65,choices!A:A,0)+20), "
",""))</f>
        <v xml:space="preserve">1. Yes
2. No
</v>
      </c>
      <c r="E65" s="48" t="s">
        <v>758</v>
      </c>
      <c r="F65" s="48"/>
      <c r="G65" s="67" t="str">
        <f>CONCATENATE(INDEX(choices!C:C,MATCH(M65,choices!A:A,0)),"
",IF(M65=INDEX(choices!A:A,MATCH(M65,choices!A:A,0)+1),INDEX(choices!C:C,MATCH(M65,choices!A:A,0)+1),""),IF(M65=INDEX(choices!A:A,MATCH(M65,choices!A:A,0)+1), "
",""),IF(M65=INDEX(choices!A:A,MATCH(M65,choices!A:A,0)+2),INDEX(choices!C:C,MATCH(M65,choices!A:A,0)+2),""),IF(M65=INDEX(choices!A:A,MATCH(M65,choices!A:A,0)+2), "
",""),IF(M65=INDEX(choices!A:A,MATCH(M65,choices!A:A,0)+3),INDEX(choices!C:C,MATCH(M65,choices!A:A,0)+3),""),IF(M65=INDEX(choices!A:A,MATCH(M65,choices!A:A,0)+3), "
",""),IF(M65=INDEX(choices!A:A,MATCH(M65,choices!A:A,0)+4),INDEX(choices!C:C,MATCH(M65,choices!A:A,0)+4),""),IF(M65=INDEX(choices!A:A,MATCH(M65,choices!A:A,0)+4), "
",""),IF(M65=INDEX(choices!A:A,MATCH(M65,choices!A:A,0)+5),INDEX(choices!C:C,MATCH(M65,choices!A:A,0)+5),""),IF(M65=INDEX(choices!A:A,MATCH(M65,choices!A:A,0)+5), "
",""),IF(M65=INDEX(choices!A:A,MATCH(M65,choices!A:A,0)+6),INDEX(choices!C:C,MATCH(M65,choices!A:A,0)+6),""),IF(M65=INDEX(choices!A:A,MATCH(M65,choices!A:A,0)+6), "
",""),IF(M65=INDEX(choices!A:A,MATCH(M65,choices!A:A,0)+7),INDEX(choices!C:C,MATCH(M65,choices!A:A,0)+7),""),IF(M65=INDEX(choices!A:A,MATCH(M65,choices!A:A,0)+7), "
",""),IF(M65=INDEX(choices!A:A,MATCH(M65,choices!A:A,0)+8),INDEX(choices!C:C,MATCH(M65,choices!A:A,0)+8),""),IF(M65=INDEX(choices!A:A,MATCH(M65,choices!A:A,0)+8), "
",""),IF(M65=INDEX(choices!A:A,MATCH(M65,choices!A:A,0)+9),INDEX(choices!C:C,MATCH(M65,choices!A:A,0)+9),""),IF(M65=INDEX(choices!A:A,MATCH(M65,choices!A:A,0)+9), "
",""),IF(M65=INDEX(choices!A:A,MATCH(M65,choices!A:A,0)+10),INDEX(choices!C:C,MATCH(M65,choices!A:A,0)+10),""),IF(M65=INDEX(choices!A:A,MATCH(M65,choices!A:A,0)+10), "
",""),IF(M65=INDEX(choices!A:A,MATCH(M65,choices!A:A,0)+11),INDEX(choices!C:C,MATCH(M65,choices!A:A,0)+11),""),IF(M65=INDEX(choices!A:A,MATCH(M65,choices!A:A,0)+11), "
",""),IF(M65=INDEX(choices!A:A,MATCH(M65,choices!A:A,0)+12),INDEX(choices!C:C,MATCH(M65,choices!A:A,0)+12),""),IF(M65=INDEX(choices!A:A,MATCH(M65,choices!A:A,0)+12), "
",""),IF(M65=INDEX(choices!A:A,MATCH(M65,choices!A:A,0)+13),INDEX(choices!C:C,MATCH(M65,choices!A:A,0)+13),""),IF(M65=INDEX(choices!A:A,MATCH(M65,choices!A:A,0)+13), "
",""),IF(M65=INDEX(choices!A:A,MATCH(M65,choices!A:A,0)+14),INDEX(choices!C:C,MATCH(M65,choices!A:A,0)+14),""),IF(M65=INDEX(choices!A:A,MATCH(M65,choices!A:A,0)+14), "
",""),IF(M65=INDEX(choices!A:A,MATCH(M65,choices!A:A,0)+15),INDEX(choices!C:C,MATCH(M65,choices!A:A,0)+15),""),IF(M65=INDEX(choices!A:A,MATCH(M65,choices!A:A,0)+15), "
",""),IF(M65=INDEX(choices!A:A,MATCH(M65,choices!A:A,0)+16),INDEX(choices!C:C,MATCH(M65,choices!A:A,0)+16),""),IF(M65=INDEX(choices!A:A,MATCH(M65,choices!A:A,0)+16), "
",""),IF(M65=INDEX(choices!A:A,MATCH(M65,choices!A:A,0)+17),INDEX(choices!C:C,MATCH(M65,choices!A:A,0)+17),""),IF(M65=INDEX(choices!A:A,MATCH(M65,choices!A:A,0)+17), "
",""),IF(M65=INDEX(choices!A:A,MATCH(M65,choices!A:A,0)+18),INDEX(choices!C:C,MATCH(M65,choices!A:A,0)+18),""),IF(M65=INDEX(choices!A:A,MATCH(M65,choices!A:A,0)+18), "
",""),IF(M65=INDEX(choices!A:A,MATCH(M65,choices!A:A,0)+19),INDEX(choices!C:C,MATCH(M65,choices!A:A,0)+19),""),IF(M65=INDEX(choices!A:A,MATCH(M65,choices!A:A,0)+19), "
",""),IF(M65=INDEX(choices!A:A,MATCH(M65,choices!A:A,0)+20),INDEX(choices!C:C,MATCH(M65,choices!A:A,0)+20),""),IF(M65=INDEX(choices!A:A,MATCH(M65,choices!A:A,0)+20), "
","")," ")</f>
        <v xml:space="preserve">1. نعم
2. لا
 </v>
      </c>
      <c r="H65" s="201" t="s">
        <v>447</v>
      </c>
      <c r="I65" s="64">
        <f>I59+1</f>
        <v>16115</v>
      </c>
      <c r="J65" s="88"/>
      <c r="L65" s="64" t="s">
        <v>18</v>
      </c>
      <c r="M65" s="64" t="s">
        <v>17</v>
      </c>
      <c r="N65" s="19" t="str">
        <f>CONCATENATE("q",I65)</f>
        <v>q16115</v>
      </c>
      <c r="O65" s="48" t="str">
        <f>CONCATENATE(I65, ". ", E65)</f>
        <v xml:space="preserve">16115. هل تستأجر (من الأخرين)  أي أراضي زراعية ؟
</v>
      </c>
      <c r="P65" s="31" t="str">
        <f>CONCATENATE(I65, ". ", B65)</f>
        <v>16115. Do you rent (from others) any land?</v>
      </c>
      <c r="Q65" s="48"/>
      <c r="R65" s="31"/>
      <c r="S65" s="28" t="str">
        <f>CONCATENATE($K$7, " &amp;&amp; ", $S$6)</f>
        <v>selected(data('q16101'),'1') &amp;&amp; data('valid_overall') == 1</v>
      </c>
      <c r="T65" s="31"/>
      <c r="U65" s="31"/>
      <c r="Y65" s="64" t="b">
        <v>1</v>
      </c>
    </row>
    <row r="66" spans="1:25" s="64" customFormat="1">
      <c r="A66" s="19"/>
      <c r="B66" s="31"/>
      <c r="C66" s="31"/>
      <c r="D66" s="127"/>
      <c r="E66" s="48"/>
      <c r="F66" s="48"/>
      <c r="G66" s="67"/>
      <c r="H66" s="201"/>
      <c r="J66" s="88" t="s">
        <v>24</v>
      </c>
      <c r="N66" s="19"/>
      <c r="O66" s="48"/>
      <c r="P66" s="31"/>
      <c r="Q66" s="48"/>
      <c r="R66" s="31"/>
      <c r="S66" s="28"/>
      <c r="T66" s="31"/>
      <c r="U66" s="31"/>
    </row>
    <row r="67" spans="1:25" s="64" customFormat="1">
      <c r="B67" s="31"/>
      <c r="C67" s="31"/>
      <c r="D67" s="181"/>
      <c r="E67" s="48"/>
      <c r="F67" s="48"/>
      <c r="G67" s="31"/>
      <c r="H67" s="181"/>
      <c r="J67" s="88" t="s">
        <v>51</v>
      </c>
      <c r="K67" s="64" t="str">
        <f>CONCATENATE("selected (data('",N65,"'), '1') &amp;&amp; ", K7)</f>
        <v>selected (data('q16115'), '1') &amp;&amp; selected(data('q16101'),'1')</v>
      </c>
      <c r="N67" s="19"/>
      <c r="O67" s="48"/>
      <c r="P67" s="31"/>
      <c r="Q67" s="48"/>
      <c r="R67" s="31"/>
      <c r="S67" s="31"/>
      <c r="T67" s="31"/>
      <c r="U67" s="31"/>
    </row>
    <row r="68" spans="1:25" s="64" customFormat="1">
      <c r="B68" s="31"/>
      <c r="C68" s="31"/>
      <c r="D68" s="181"/>
      <c r="E68" s="48"/>
      <c r="F68" s="48"/>
      <c r="G68" s="31"/>
      <c r="H68" s="181"/>
      <c r="J68" s="22" t="s">
        <v>20</v>
      </c>
      <c r="N68" s="19"/>
      <c r="O68" s="48"/>
      <c r="P68" s="31"/>
      <c r="Q68" s="48"/>
      <c r="R68" s="31"/>
      <c r="S68" s="31"/>
      <c r="T68" s="31"/>
      <c r="U68" s="31"/>
    </row>
    <row r="69" spans="1:25" s="64" customFormat="1" ht="75">
      <c r="A69" s="19" t="str">
        <f>CONCATENATE("q",$I69)</f>
        <v>q16116</v>
      </c>
      <c r="B69" s="31" t="s">
        <v>446</v>
      </c>
      <c r="C69" s="48" t="str">
        <f>CONCATENATE("Hints: ", R69)</f>
        <v>Hints: Write 99998 if don’t know</v>
      </c>
      <c r="D69" s="201"/>
      <c r="E69" s="294" t="s">
        <v>1013</v>
      </c>
      <c r="F69" s="48" t="str">
        <f>CONCATENATE("Hints: ",Q69, )</f>
        <v>Hints: في حالة "لا أعرف"، سجل 999998</v>
      </c>
      <c r="G69" s="31"/>
      <c r="H69" s="181"/>
      <c r="I69" s="64">
        <f>I65+1</f>
        <v>16116</v>
      </c>
      <c r="J69" s="66"/>
      <c r="L69" s="64" t="s">
        <v>22</v>
      </c>
      <c r="N69" s="19" t="str">
        <f>CONCATENATE("q",I69)</f>
        <v>q16116</v>
      </c>
      <c r="O69" s="312" t="str">
        <f>E69</f>
        <v>ما إجمالي مساحة الأراضى المستأجرة من الأخرين خلال الـ12 شهر الماضية ؟</v>
      </c>
      <c r="P69" s="117" t="str">
        <f>B69</f>
        <v>How large was the rented land (from others) in the last 12 months?</v>
      </c>
      <c r="Q69" s="313" t="s">
        <v>1022</v>
      </c>
      <c r="R69" s="117" t="s">
        <v>1019</v>
      </c>
      <c r="S69" s="31"/>
      <c r="T69" s="117"/>
      <c r="U69" s="117"/>
      <c r="V69" s="45"/>
      <c r="W69" s="45"/>
      <c r="X69" s="45"/>
      <c r="Y69" s="64" t="b">
        <v>1</v>
      </c>
    </row>
    <row r="70" spans="1:25" s="64" customFormat="1" ht="45">
      <c r="A70" s="19" t="str">
        <f>CONCATENATE("q",$I70)</f>
        <v>q16116_1</v>
      </c>
      <c r="B70" s="31" t="s">
        <v>445</v>
      </c>
      <c r="C70" s="31"/>
      <c r="D70" s="181"/>
      <c r="E70" s="78" t="s">
        <v>750</v>
      </c>
      <c r="F70" s="78"/>
      <c r="G70" s="31"/>
      <c r="H70" s="181"/>
      <c r="I70" s="19" t="str">
        <f>CONCATENATE(I69,"_1")</f>
        <v>16116_1</v>
      </c>
      <c r="J70" s="66"/>
      <c r="L70" s="19" t="s">
        <v>443</v>
      </c>
      <c r="N70" s="19" t="str">
        <f>CONCATENATE("q",I70)</f>
        <v>q16116_1</v>
      </c>
      <c r="O70" s="48" t="str">
        <f>CONCATENATE(I70, ". ", E70)</f>
        <v>16116_1. قيراط</v>
      </c>
      <c r="P70" s="31" t="str">
        <f>CONCATENATE(I70, ". ", B70)</f>
        <v>16116_1. Kirat</v>
      </c>
      <c r="Q70" s="456" t="s">
        <v>1488</v>
      </c>
      <c r="R70" s="71" t="s">
        <v>1489</v>
      </c>
      <c r="S70" s="28" t="str">
        <f>CONCATENATE($K$67, " &amp;&amp; ", $S$6)</f>
        <v>selected (data('q16115'), '1') &amp;&amp; selected(data('q16101'),'1') &amp;&amp; data('valid_overall') == 1</v>
      </c>
      <c r="T70" s="31"/>
      <c r="U70" s="31"/>
      <c r="V70" s="64" t="str">
        <f>CONCATENATE("((data('",N70,"')&gt;=0 &amp; data('",N70,"')&lt;=23) || data('",N15,"')==999998) || data('valid_overall') == 0 || selected(data('",N6,"'), '2') || selected(data('",N69,"'), '2')")</f>
        <v>((data('q16116_1')&gt;=0 &amp; data('q16116_1')&lt;=23) || data('q16104_1')==999998) || data('valid_overall') == 0 || selected(data('q16101'), '2') || selected(data('q16116'), '2')</v>
      </c>
      <c r="Y70" s="64" t="b">
        <v>1</v>
      </c>
    </row>
    <row r="71" spans="1:25" s="64" customFormat="1" ht="45">
      <c r="A71" s="19" t="str">
        <f>CONCATENATE("q",$I71)</f>
        <v>q16116_2</v>
      </c>
      <c r="B71" s="31" t="s">
        <v>444</v>
      </c>
      <c r="C71" s="31"/>
      <c r="D71" s="181"/>
      <c r="E71" s="78" t="s">
        <v>749</v>
      </c>
      <c r="F71" s="78"/>
      <c r="G71" s="31"/>
      <c r="H71" s="181"/>
      <c r="I71" s="19" t="str">
        <f>CONCATENATE(I69,"_2")</f>
        <v>16116_2</v>
      </c>
      <c r="J71" s="66"/>
      <c r="L71" s="19" t="s">
        <v>443</v>
      </c>
      <c r="N71" s="19" t="str">
        <f>CONCATENATE("q",I71)</f>
        <v>q16116_2</v>
      </c>
      <c r="O71" s="48" t="str">
        <f>CONCATENATE(I71, ". ", E71)</f>
        <v>16116_2. فدان</v>
      </c>
      <c r="P71" s="31" t="str">
        <f>CONCATENATE(I71, ". ", B71)</f>
        <v>16116_2. Fedan</v>
      </c>
      <c r="Q71" s="71" t="s">
        <v>1490</v>
      </c>
      <c r="R71" s="71" t="s">
        <v>1491</v>
      </c>
      <c r="S71" s="28" t="str">
        <f>CONCATENATE($K$67, " &amp;&amp; ", $S$6)</f>
        <v>selected (data('q16115'), '1') &amp;&amp; selected(data('q16101'),'1') &amp;&amp; data('valid_overall') == 1</v>
      </c>
      <c r="T71" s="31"/>
      <c r="U71" s="31"/>
      <c r="Y71" s="64" t="b">
        <v>1</v>
      </c>
    </row>
    <row r="72" spans="1:25" s="64" customFormat="1">
      <c r="A72" s="19"/>
      <c r="B72" s="31"/>
      <c r="C72" s="31"/>
      <c r="D72" s="181"/>
      <c r="E72" s="78"/>
      <c r="F72" s="78"/>
      <c r="G72" s="31"/>
      <c r="H72" s="181"/>
      <c r="J72" s="22" t="s">
        <v>21</v>
      </c>
      <c r="L72" s="19"/>
      <c r="N72" s="19"/>
      <c r="O72" s="48"/>
      <c r="P72" s="31"/>
      <c r="Q72" s="48"/>
      <c r="R72" s="31"/>
      <c r="S72" s="28"/>
      <c r="T72" s="31"/>
      <c r="U72" s="31"/>
    </row>
    <row r="73" spans="1:25" s="64" customFormat="1" ht="75">
      <c r="A73" s="19" t="str">
        <f>CONCATENATE("q",$I73)</f>
        <v>q16117</v>
      </c>
      <c r="B73" s="31" t="s">
        <v>442</v>
      </c>
      <c r="C73" s="31"/>
      <c r="D73" s="233" t="str">
        <f>CONCATENATE(INDEX(choices!D:D,MATCH(M73,choices!A:A,0)),"
",IF(M73=INDEX(choices!A:A,MATCH(M73,choices!A:A,0)+1),INDEX(choices!D:D,MATCH(M73,choices!A:A,0)+1),""),IF(M73=INDEX(choices!A:A,MATCH(M73,choices!A:A,0)+1), "
",""),IF(M73=INDEX(choices!A:A,MATCH(M73,choices!A:A,0)+2),INDEX(choices!D:D,MATCH(M73,choices!A:A,0)+2),""),IF(M73=INDEX(choices!A:A,MATCH(M73,choices!A:A,0)+2), "
",""),IF(M73=INDEX(choices!A:A,MATCH(M73,choices!A:A,0)+3),INDEX(choices!D:D,MATCH(M73,choices!A:A,0)+3),""),IF(M73=INDEX(choices!A:A,MATCH(M73,choices!A:A,0)+3), "
",""),IF(M73=INDEX(choices!A:A,MATCH(M73,choices!A:A,0)+4),INDEX(choices!D:D,MATCH(M73,choices!A:A,0)+4),""),IF(M73=INDEX(choices!A:A,MATCH(M73,choices!A:A,0)+4), "
",""),IF(M73=INDEX(choices!A:A,MATCH(M73,choices!A:A,0)+5),INDEX(choices!D:D,MATCH(M73,choices!A:A,0)+5),""),IF(M73=INDEX(choices!A:A,MATCH(M73,choices!A:A,0)+5), "
",""),IF(M73=INDEX(choices!A:A,MATCH(M73,choices!A:A,0)+6),INDEX(choices!D:D,MATCH(M73,choices!A:A,0)+6),""),IF(M73=INDEX(choices!A:A,MATCH(M73,choices!A:A,0)+6), "
",""),IF(M73=INDEX(choices!A:A,MATCH(M73,choices!A:A,0)+7),INDEX(choices!D:D,MATCH(M73,choices!A:A,0)+7),""),IF(M73=INDEX(choices!A:A,MATCH(M73,choices!A:A,0)+7), "
",""),IF(M73=INDEX(choices!A:A,MATCH(M73,choices!A:A,0)+8),INDEX(choices!D:D,MATCH(M73,choices!A:A,0)+8),""),IF(M73=INDEX(choices!A:A,MATCH(M73,choices!A:A,0)+8), "
",""),IF(M73=INDEX(choices!A:A,MATCH(M73,choices!A:A,0)+9),INDEX(choices!D:D,MATCH(M73,choices!A:A,0)+9),""),IF(M73=INDEX(choices!A:A,MATCH(M73,choices!A:A,0)+9), "
",""),IF(M73=INDEX(choices!A:A,MATCH(M73,choices!A:A,0)+10),INDEX(choices!D:D,MATCH(M73,choices!A:A,0)+10),""),IF(M73=INDEX(choices!A:A,MATCH(M73,choices!A:A,0)+10), "
",""),IF(M73=INDEX(choices!A:A,MATCH(M73,choices!A:A,0)+11),INDEX(choices!D:D,MATCH(M73,choices!A:A,0)+11),""),IF(M73=INDEX(choices!A:A,MATCH(M73,choices!A:A,0)+11), "
",""),IF(M73=INDEX(choices!A:A,MATCH(M73,choices!A:A,0)+12),INDEX(choices!D:D,MATCH(M73,choices!A:A,0)+12),""),IF(M73=INDEX(choices!A:A,MATCH(M73,choices!A:A,0)+12), "
",""),IF(M73=INDEX(choices!A:A,MATCH(M73,choices!A:A,0)+13),INDEX(choices!D:D,MATCH(M73,choices!A:A,0)+13),""),IF(M73=INDEX(choices!A:A,MATCH(M73,choices!A:A,0)+13), "
",""),IF(M73=INDEX(choices!A:A,MATCH(M73,choices!A:A,0)+14),INDEX(choices!D:D,MATCH(M73,choices!A:A,0)+14),""),IF(M73=INDEX(choices!A:A,MATCH(M73,choices!A:A,0)+14), "
",""),IF(M73=INDEX(choices!A:A,MATCH(M73,choices!A:A,0)+15),INDEX(choices!D:D,MATCH(M73,choices!A:A,0)+15),""),IF(M73=INDEX(choices!A:A,MATCH(M73,choices!A:A,0)+15), "
",""),IF(M73=INDEX(choices!A:A,MATCH(M73,choices!A:A,0)+16),INDEX(choices!D:D,MATCH(M73,choices!A:A,0)+16),""),IF(M73=INDEX(choices!A:A,MATCH(M73,choices!A:A,0)+16), "
",""),IF(M73=INDEX(choices!A:A,MATCH(M73,choices!A:A,0)+17),INDEX(choices!D:D,MATCH(M73,choices!A:A,0)+17),""),IF(M73=INDEX(choices!A:A,MATCH(M73,choices!A:A,0)+17), "
",""),IF(M73=INDEX(choices!A:A,MATCH(M73,choices!A:A,0)+18),INDEX(choices!D:D,MATCH(M73,choices!A:A,0)+18),""),IF(M73=INDEX(choices!A:A,MATCH(M73,choices!A:A,0)+18), "
",""),IF(M73=INDEX(choices!A:A,MATCH(M73,choices!A:A,0)+19),INDEX(choices!D:D,MATCH(M73,choices!A:A,0)+19),""),IF(M73=INDEX(choices!A:A,MATCH(M73,choices!A:A,0)+19), "
",""),IF(M73=INDEX(choices!A:A,MATCH(M73,choices!A:A,0)+20),INDEX(choices!D:D,MATCH(M73,choices!A:A,0)+20),""),IF(M73=INDEX(choices!A:A,MATCH(M73,choices!A:A,0)+20), "
",""))</f>
        <v xml:space="preserve">1. Rent only
2. Sharecropping
3.Both rent and sharecropping
</v>
      </c>
      <c r="E73" s="294" t="s">
        <v>1014</v>
      </c>
      <c r="F73" s="294"/>
      <c r="G73" s="67" t="str">
        <f>CONCATENATE(INDEX(choices!C:C,MATCH(M73,choices!A:A,0)),"
",IF(M73=INDEX(choices!A:A,MATCH(M73,choices!A:A,0)+1),INDEX(choices!C:C,MATCH(M73,choices!A:A,0)+1),""),IF(M73=INDEX(choices!A:A,MATCH(M73,choices!A:A,0)+1), "
",""),IF(M73=INDEX(choices!A:A,MATCH(M73,choices!A:A,0)+2),INDEX(choices!C:C,MATCH(M73,choices!A:A,0)+2),""),IF(M73=INDEX(choices!A:A,MATCH(M73,choices!A:A,0)+2), "
",""),IF(M73=INDEX(choices!A:A,MATCH(M73,choices!A:A,0)+3),INDEX(choices!C:C,MATCH(M73,choices!A:A,0)+3),""),IF(M73=INDEX(choices!A:A,MATCH(M73,choices!A:A,0)+3), "
",""),IF(M73=INDEX(choices!A:A,MATCH(M73,choices!A:A,0)+4),INDEX(choices!C:C,MATCH(M73,choices!A:A,0)+4),""),IF(M73=INDEX(choices!A:A,MATCH(M73,choices!A:A,0)+4), "
",""),IF(M73=INDEX(choices!A:A,MATCH(M73,choices!A:A,0)+5),INDEX(choices!C:C,MATCH(M73,choices!A:A,0)+5),""),IF(M73=INDEX(choices!A:A,MATCH(M73,choices!A:A,0)+5), "
",""),IF(M73=INDEX(choices!A:A,MATCH(M73,choices!A:A,0)+6),INDEX(choices!C:C,MATCH(M73,choices!A:A,0)+6),""),IF(M73=INDEX(choices!A:A,MATCH(M73,choices!A:A,0)+6), "
",""),IF(M73=INDEX(choices!A:A,MATCH(M73,choices!A:A,0)+7),INDEX(choices!C:C,MATCH(M73,choices!A:A,0)+7),""),IF(M73=INDEX(choices!A:A,MATCH(M73,choices!A:A,0)+7), "
",""),IF(M73=INDEX(choices!A:A,MATCH(M73,choices!A:A,0)+8),INDEX(choices!C:C,MATCH(M73,choices!A:A,0)+8),""),IF(M73=INDEX(choices!A:A,MATCH(M73,choices!A:A,0)+8), "
",""),IF(M73=INDEX(choices!A:A,MATCH(M73,choices!A:A,0)+9),INDEX(choices!C:C,MATCH(M73,choices!A:A,0)+9),""),IF(M73=INDEX(choices!A:A,MATCH(M73,choices!A:A,0)+9), "
",""),IF(M73=INDEX(choices!A:A,MATCH(M73,choices!A:A,0)+10),INDEX(choices!C:C,MATCH(M73,choices!A:A,0)+10),""),IF(M73=INDEX(choices!A:A,MATCH(M73,choices!A:A,0)+10), "
",""),IF(M73=INDEX(choices!A:A,MATCH(M73,choices!A:A,0)+11),INDEX(choices!C:C,MATCH(M73,choices!A:A,0)+11),""),IF(M73=INDEX(choices!A:A,MATCH(M73,choices!A:A,0)+11), "
",""),IF(M73=INDEX(choices!A:A,MATCH(M73,choices!A:A,0)+12),INDEX(choices!C:C,MATCH(M73,choices!A:A,0)+12),""),IF(M73=INDEX(choices!A:A,MATCH(M73,choices!A:A,0)+12), "
",""),IF(M73=INDEX(choices!A:A,MATCH(M73,choices!A:A,0)+13),INDEX(choices!C:C,MATCH(M73,choices!A:A,0)+13),""),IF(M73=INDEX(choices!A:A,MATCH(M73,choices!A:A,0)+13), "
",""),IF(M73=INDEX(choices!A:A,MATCH(M73,choices!A:A,0)+14),INDEX(choices!C:C,MATCH(M73,choices!A:A,0)+14),""),IF(M73=INDEX(choices!A:A,MATCH(M73,choices!A:A,0)+14), "
",""),IF(M73=INDEX(choices!A:A,MATCH(M73,choices!A:A,0)+15),INDEX(choices!C:C,MATCH(M73,choices!A:A,0)+15),""),IF(M73=INDEX(choices!A:A,MATCH(M73,choices!A:A,0)+15), "
",""),IF(M73=INDEX(choices!A:A,MATCH(M73,choices!A:A,0)+16),INDEX(choices!C:C,MATCH(M73,choices!A:A,0)+16),""),IF(M73=INDEX(choices!A:A,MATCH(M73,choices!A:A,0)+16), "
",""),IF(M73=INDEX(choices!A:A,MATCH(M73,choices!A:A,0)+17),INDEX(choices!C:C,MATCH(M73,choices!A:A,0)+17),""),IF(M73=INDEX(choices!A:A,MATCH(M73,choices!A:A,0)+17), "
",""),IF(M73=INDEX(choices!A:A,MATCH(M73,choices!A:A,0)+18),INDEX(choices!C:C,MATCH(M73,choices!A:A,0)+18),""),IF(M73=INDEX(choices!A:A,MATCH(M73,choices!A:A,0)+18), "
",""),IF(M73=INDEX(choices!A:A,MATCH(M73,choices!A:A,0)+19),INDEX(choices!C:C,MATCH(M73,choices!A:A,0)+19),""),IF(M73=INDEX(choices!A:A,MATCH(M73,choices!A:A,0)+19), "
",""),IF(M73=INDEX(choices!A:A,MATCH(M73,choices!A:A,0)+20),INDEX(choices!C:C,MATCH(M73,choices!A:A,0)+20),""),IF(M73=INDEX(choices!A:A,MATCH(M73,choices!A:A,0)+20), "
","")," ")</f>
        <v xml:space="preserve">1. تأجير خلص
2. تأجير مشاركة
3. كلاهما
 </v>
      </c>
      <c r="H73" s="164" t="str">
        <f>CONCATENATE("If 2 ---&gt;",I79 )</f>
        <v>If 2 ---&gt;16119</v>
      </c>
      <c r="I73" s="64">
        <f>I69+1</f>
        <v>16117</v>
      </c>
      <c r="J73" s="66"/>
      <c r="L73" s="64" t="s">
        <v>18</v>
      </c>
      <c r="M73" s="64" t="s">
        <v>303</v>
      </c>
      <c r="N73" s="19" t="str">
        <f>CONCATENATE("q",I73)</f>
        <v>q16117</v>
      </c>
      <c r="O73" s="48" t="str">
        <f>CONCATENATE(I73, ". ", E73)</f>
        <v xml:space="preserve">16117. ما نوع الإيجار من الأخرين؟ 
</v>
      </c>
      <c r="P73" s="31" t="str">
        <f>CONCATENATE(I73, ". ", B73)</f>
        <v>16117. What's the type of rent for the rented plot (from others)?</v>
      </c>
      <c r="Q73" s="48"/>
      <c r="R73" s="31"/>
      <c r="S73" s="28" t="str">
        <f>CONCATENATE($K$67, " &amp;&amp; ", $S$6)</f>
        <v>selected (data('q16115'), '1') &amp;&amp; selected(data('q16101'),'1') &amp;&amp; data('valid_overall') == 1</v>
      </c>
      <c r="T73" s="31"/>
      <c r="U73" s="31"/>
      <c r="Y73" s="64" t="b">
        <v>1</v>
      </c>
    </row>
    <row r="74" spans="1:25" s="64" customFormat="1">
      <c r="A74" s="19"/>
      <c r="B74" s="31"/>
      <c r="C74" s="31"/>
      <c r="D74" s="233"/>
      <c r="E74" s="48"/>
      <c r="F74" s="48"/>
      <c r="G74" s="67"/>
      <c r="H74" s="164"/>
      <c r="J74" s="88" t="s">
        <v>24</v>
      </c>
      <c r="N74" s="19"/>
      <c r="O74" s="48"/>
      <c r="P74" s="31"/>
      <c r="Q74" s="48"/>
      <c r="R74" s="31"/>
      <c r="S74" s="28"/>
      <c r="T74" s="31"/>
      <c r="U74" s="31"/>
    </row>
    <row r="75" spans="1:25" s="64" customFormat="1">
      <c r="B75" s="31"/>
      <c r="C75" s="31"/>
      <c r="D75" s="181"/>
      <c r="E75" s="48"/>
      <c r="F75" s="48"/>
      <c r="G75" s="31"/>
      <c r="H75" s="181"/>
      <c r="J75" s="88" t="s">
        <v>51</v>
      </c>
      <c r="K75" s="64" t="str">
        <f>CONCATENATE("(selected(data('",N73,"'),'1') || selected(data('",N73,"'),'3')) &amp;&amp; ", K67)</f>
        <v>(selected(data('q16117'),'1') || selected(data('q16117'),'3')) &amp;&amp; selected (data('q16115'), '1') &amp;&amp; selected(data('q16101'),'1')</v>
      </c>
      <c r="N75" s="19"/>
      <c r="O75" s="48"/>
      <c r="P75" s="31"/>
      <c r="Q75" s="48"/>
      <c r="R75" s="31"/>
      <c r="S75" s="31"/>
      <c r="T75" s="31"/>
      <c r="U75" s="31"/>
    </row>
    <row r="76" spans="1:25" s="31" customFormat="1" ht="75">
      <c r="A76" s="31" t="str">
        <f>CONCATENATE("q",I76)</f>
        <v>q16118</v>
      </c>
      <c r="B76" s="31" t="s">
        <v>760</v>
      </c>
      <c r="C76" s="48" t="str">
        <f>CONCATENATE("Hints: ", R76)</f>
        <v>Hints: Write 99998 if don’t know</v>
      </c>
      <c r="D76" s="181"/>
      <c r="E76" s="294" t="s">
        <v>1015</v>
      </c>
      <c r="F76" s="48" t="str">
        <f>CONCATENATE("Hints: ",Q76, )</f>
        <v>Hints: في حالة "لا أعرف"، سجل 999998</v>
      </c>
      <c r="H76" s="181" t="str">
        <f>CONCATENATE("If ",N73, "=1 --&gt; next section")</f>
        <v>If q16117=1 --&gt; next section</v>
      </c>
      <c r="I76" s="31">
        <f>I73+1</f>
        <v>16118</v>
      </c>
      <c r="J76" s="85"/>
      <c r="L76" s="31" t="s">
        <v>19</v>
      </c>
      <c r="N76" s="31" t="str">
        <f>CONCATENATE("q",I76)</f>
        <v>q16118</v>
      </c>
      <c r="O76" s="312" t="str">
        <f>CONCATENATE(I76, ". ", E76)</f>
        <v>16118. ما قيمة الإيجار السنوي (بالجنيه)؟</v>
      </c>
      <c r="P76" s="117" t="str">
        <f>CONCATENATE(I76, ". ", B76)</f>
        <v>16118. What's the value of the annual rent?  (in pounds)</v>
      </c>
      <c r="Q76" s="313" t="s">
        <v>1022</v>
      </c>
      <c r="R76" s="117" t="s">
        <v>1019</v>
      </c>
      <c r="S76" s="28" t="str">
        <f>CONCATENATE($K$75, " &amp;&amp; ", $S$6)</f>
        <v>(selected(data('q16117'),'1') || selected(data('q16117'),'3')) &amp;&amp; selected (data('q16115'), '1') &amp;&amp; selected(data('q16101'),'1') &amp;&amp; data('valid_overall') == 1</v>
      </c>
      <c r="T76" s="117"/>
      <c r="U76" s="117"/>
      <c r="V76" s="117"/>
      <c r="W76" s="117"/>
      <c r="X76" s="117"/>
      <c r="Y76" s="31" t="b">
        <v>1</v>
      </c>
    </row>
    <row r="77" spans="1:25" s="31" customFormat="1">
      <c r="D77" s="181"/>
      <c r="E77" s="48"/>
      <c r="F77" s="48"/>
      <c r="H77" s="181"/>
      <c r="J77" s="232" t="s">
        <v>24</v>
      </c>
      <c r="O77" s="48"/>
      <c r="Q77" s="48"/>
      <c r="S77" s="28"/>
    </row>
    <row r="78" spans="1:25" s="64" customFormat="1">
      <c r="B78" s="31"/>
      <c r="C78" s="31"/>
      <c r="D78" s="181"/>
      <c r="E78" s="48"/>
      <c r="F78" s="48"/>
      <c r="G78" s="31"/>
      <c r="H78" s="181"/>
      <c r="J78" s="88" t="s">
        <v>23</v>
      </c>
      <c r="K78" s="64" t="str">
        <f>CONCATENATE("(selected(data('",N73,"'),'2')|| selected(data('",N73,"'),'3')) &amp;&amp;", K67)</f>
        <v>(selected(data('q16117'),'2')|| selected(data('q16117'),'3')) &amp;&amp;selected (data('q16115'), '1') &amp;&amp; selected(data('q16101'),'1')</v>
      </c>
      <c r="N78" s="19"/>
      <c r="O78" s="48"/>
      <c r="P78" s="31"/>
      <c r="Q78" s="48"/>
      <c r="R78" s="31"/>
      <c r="S78" s="31"/>
      <c r="T78" s="31"/>
      <c r="U78" s="31"/>
    </row>
    <row r="79" spans="1:25" s="64" customFormat="1" ht="75">
      <c r="A79" s="19" t="str">
        <f>CONCATENATE("q",I79)</f>
        <v>q16119</v>
      </c>
      <c r="B79" s="31" t="s">
        <v>613</v>
      </c>
      <c r="C79" s="48" t="str">
        <f>CONCATENATE("Hints: ", R79)</f>
        <v>Hints: Must be 0-100. *Write 98 if don’t know</v>
      </c>
      <c r="D79" s="181"/>
      <c r="E79" s="48" t="s">
        <v>1554</v>
      </c>
      <c r="F79" s="48" t="str">
        <f>CONCATENATE("Hints: ",Q79, )</f>
        <v>Hints: يجب أن تكون النسبة 0-100
في حالة "لا أعرف"، سجل 98</v>
      </c>
      <c r="G79" s="31"/>
      <c r="H79" s="181"/>
      <c r="I79" s="64">
        <f>I76+1</f>
        <v>16119</v>
      </c>
      <c r="J79" s="92"/>
      <c r="L79" s="64" t="s">
        <v>19</v>
      </c>
      <c r="N79" s="19" t="str">
        <f>CONCATENATE("q",I79)</f>
        <v>q16119</v>
      </c>
      <c r="O79" s="312" t="str">
        <f>CONCATENATE(I79, ". ", E79)</f>
        <v>16119. ما هي النسبة التي يحصل عليها صاحب الأرض من المشاركة (%)؟</v>
      </c>
      <c r="P79" s="117" t="str">
        <f>CONCATENATE(I79, ". ", B79)</f>
        <v>16119. How much does the owner recieve from the sharing? Percent:</v>
      </c>
      <c r="Q79" s="451" t="s">
        <v>1392</v>
      </c>
      <c r="R79" s="117" t="s">
        <v>614</v>
      </c>
      <c r="S79" s="31" t="str">
        <f>CONCATENATE($K$78, " &amp;&amp; ", $S$6)</f>
        <v>(selected(data('q16117'),'2')|| selected(data('q16117'),'3')) &amp;&amp;selected (data('q16115'), '1') &amp;&amp; selected(data('q16101'),'1') &amp;&amp; data('valid_overall') == 1</v>
      </c>
      <c r="T79" s="117"/>
      <c r="U79" s="117"/>
      <c r="V79" s="117" t="str">
        <f>CONCATENATE("(data('",N79,"') &gt;= 0 &amp;&amp; data('",N79,"') &lt;= 100)  || selected(data('",N6,"'), '2') || selected(data('",N65,"'), '2') || selected(data('",N73,"'), '1') || data('valid_overall') == 0 ")</f>
        <v xml:space="preserve">(data('q16119') &gt;= 0 &amp;&amp; data('q16119') &lt;= 100)  || selected(data('q16101'), '2') || selected(data('q16115'), '2') || selected(data('q16117'), '1') || data('valid_overall') == 0 </v>
      </c>
      <c r="W79" s="231" t="s">
        <v>1020</v>
      </c>
      <c r="X79" s="117" t="s">
        <v>441</v>
      </c>
      <c r="Y79" s="64" t="b">
        <v>1</v>
      </c>
    </row>
    <row r="80" spans="1:25" s="64" customFormat="1">
      <c r="B80" s="31"/>
      <c r="C80" s="31"/>
      <c r="D80" s="181"/>
      <c r="E80" s="48"/>
      <c r="F80" s="48"/>
      <c r="G80" s="31"/>
      <c r="H80" s="181"/>
      <c r="J80" s="88" t="s">
        <v>42</v>
      </c>
      <c r="O80" s="48"/>
      <c r="P80" s="31"/>
      <c r="Q80" s="48"/>
      <c r="R80" s="31"/>
      <c r="S80" s="31"/>
      <c r="T80" s="31"/>
      <c r="U80" s="31"/>
    </row>
    <row r="81" spans="2:21" s="64" customFormat="1">
      <c r="B81" s="31"/>
      <c r="C81" s="31"/>
      <c r="D81" s="181"/>
      <c r="E81" s="48"/>
      <c r="F81" s="48"/>
      <c r="G81" s="31"/>
      <c r="H81" s="181"/>
      <c r="J81" s="88"/>
      <c r="O81" s="48"/>
      <c r="P81" s="31"/>
      <c r="Q81" s="48"/>
      <c r="R81" s="31"/>
      <c r="S81" s="31"/>
      <c r="T81" s="31"/>
      <c r="U81" s="31"/>
    </row>
    <row r="82" spans="2:21" s="64" customFormat="1">
      <c r="B82" s="31"/>
      <c r="C82" s="31"/>
      <c r="D82" s="181"/>
      <c r="E82" s="48"/>
      <c r="F82" s="48"/>
      <c r="G82" s="31"/>
      <c r="H82" s="181"/>
      <c r="O82" s="48"/>
      <c r="P82" s="31"/>
      <c r="Q82" s="48"/>
      <c r="R82" s="31"/>
      <c r="S82" s="31"/>
      <c r="T82" s="31"/>
      <c r="U82" s="31"/>
    </row>
    <row r="83" spans="2:21" s="64" customFormat="1">
      <c r="B83" s="31"/>
      <c r="C83" s="31"/>
      <c r="D83" s="181"/>
      <c r="E83" s="48"/>
      <c r="F83" s="48"/>
      <c r="G83" s="31"/>
      <c r="H83" s="181"/>
      <c r="O83" s="48"/>
      <c r="P83" s="31"/>
      <c r="Q83" s="48"/>
      <c r="R83" s="31"/>
      <c r="S83" s="31"/>
      <c r="T83" s="31"/>
      <c r="U83" s="31"/>
    </row>
    <row r="84" spans="2:21" s="64" customFormat="1">
      <c r="B84" s="31"/>
      <c r="C84" s="31"/>
      <c r="D84" s="181"/>
      <c r="E84" s="48"/>
      <c r="F84" s="48"/>
      <c r="G84" s="31"/>
      <c r="H84" s="181"/>
      <c r="O84" s="48"/>
      <c r="P84" s="31"/>
      <c r="Q84" s="48"/>
      <c r="R84" s="31"/>
      <c r="S84" s="31"/>
      <c r="T84" s="31"/>
      <c r="U84" s="31"/>
    </row>
    <row r="85" spans="2:21" s="64" customFormat="1">
      <c r="B85" s="31"/>
      <c r="C85" s="31"/>
      <c r="D85" s="181"/>
      <c r="E85" s="48"/>
      <c r="F85" s="48"/>
      <c r="G85" s="31"/>
      <c r="H85" s="181"/>
      <c r="O85" s="48"/>
      <c r="P85" s="31"/>
      <c r="Q85" s="48"/>
      <c r="R85" s="31"/>
      <c r="S85" s="31"/>
      <c r="T85" s="31"/>
      <c r="U85" s="31"/>
    </row>
    <row r="86" spans="2:21" s="64" customFormat="1">
      <c r="B86" s="31"/>
      <c r="C86" s="31"/>
      <c r="D86" s="181"/>
      <c r="E86" s="48"/>
      <c r="F86" s="48"/>
      <c r="G86" s="31"/>
      <c r="H86" s="181"/>
      <c r="O86" s="48"/>
      <c r="P86" s="31"/>
      <c r="Q86" s="48"/>
      <c r="R86" s="31"/>
      <c r="S86" s="31"/>
      <c r="T86" s="31"/>
      <c r="U86" s="31"/>
    </row>
    <row r="87" spans="2:21" s="64" customFormat="1">
      <c r="B87" s="31"/>
      <c r="C87" s="31"/>
      <c r="D87" s="181"/>
      <c r="E87" s="48"/>
      <c r="F87" s="48"/>
      <c r="G87" s="31"/>
      <c r="H87" s="181"/>
      <c r="O87" s="48"/>
      <c r="P87" s="31"/>
      <c r="Q87" s="48"/>
      <c r="R87" s="31"/>
      <c r="S87" s="31"/>
      <c r="T87" s="31"/>
      <c r="U87" s="31"/>
    </row>
    <row r="88" spans="2:21" s="64" customFormat="1">
      <c r="B88" s="31"/>
      <c r="C88" s="31"/>
      <c r="D88" s="181"/>
      <c r="E88" s="48"/>
      <c r="F88" s="48"/>
      <c r="G88" s="31"/>
      <c r="H88" s="181"/>
      <c r="O88" s="48"/>
      <c r="P88" s="31"/>
      <c r="Q88" s="48"/>
      <c r="R88" s="31"/>
      <c r="S88" s="31"/>
      <c r="T88" s="31"/>
      <c r="U88" s="31"/>
    </row>
    <row r="89" spans="2:21" s="64" customFormat="1">
      <c r="B89" s="31"/>
      <c r="C89" s="31"/>
      <c r="D89" s="181"/>
      <c r="E89" s="48"/>
      <c r="F89" s="48"/>
      <c r="G89" s="31"/>
      <c r="H89" s="181"/>
      <c r="O89" s="48"/>
      <c r="P89" s="31"/>
      <c r="Q89" s="48"/>
      <c r="R89" s="31"/>
      <c r="S89" s="31"/>
      <c r="T89" s="31"/>
      <c r="U89" s="31"/>
    </row>
    <row r="90" spans="2:21" s="64" customFormat="1">
      <c r="B90" s="31"/>
      <c r="C90" s="31"/>
      <c r="D90" s="181"/>
      <c r="E90" s="48"/>
      <c r="F90" s="48"/>
      <c r="G90" s="31"/>
      <c r="H90" s="181"/>
      <c r="O90" s="48"/>
      <c r="P90" s="31"/>
      <c r="Q90" s="48"/>
      <c r="R90" s="31"/>
      <c r="S90" s="31"/>
      <c r="T90" s="31"/>
      <c r="U90" s="31"/>
    </row>
    <row r="91" spans="2:21" s="64" customFormat="1">
      <c r="B91" s="31"/>
      <c r="C91" s="31"/>
      <c r="D91" s="181"/>
      <c r="E91" s="48"/>
      <c r="F91" s="48"/>
      <c r="G91" s="31"/>
      <c r="H91" s="181"/>
      <c r="O91" s="48"/>
      <c r="P91" s="31"/>
      <c r="Q91" s="48"/>
      <c r="R91" s="31"/>
      <c r="S91" s="31"/>
      <c r="T91" s="31"/>
      <c r="U91" s="31"/>
    </row>
    <row r="92" spans="2:21" s="64" customFormat="1">
      <c r="B92" s="31"/>
      <c r="C92" s="31"/>
      <c r="D92" s="181"/>
      <c r="E92" s="48"/>
      <c r="F92" s="48"/>
      <c r="G92" s="31"/>
      <c r="H92" s="181"/>
      <c r="O92" s="48"/>
      <c r="P92" s="31"/>
      <c r="Q92" s="48"/>
      <c r="R92" s="31"/>
      <c r="S92" s="31"/>
      <c r="T92" s="31"/>
      <c r="U92" s="31"/>
    </row>
    <row r="93" spans="2:21" s="64" customFormat="1">
      <c r="B93" s="31"/>
      <c r="C93" s="31"/>
      <c r="D93" s="181"/>
      <c r="E93" s="48"/>
      <c r="F93" s="48"/>
      <c r="G93" s="31"/>
      <c r="H93" s="181"/>
      <c r="O93" s="48"/>
      <c r="P93" s="31"/>
      <c r="Q93" s="48"/>
      <c r="R93" s="31"/>
      <c r="S93" s="31"/>
      <c r="T93" s="31"/>
      <c r="U93" s="31"/>
    </row>
    <row r="94" spans="2:21" s="64" customFormat="1">
      <c r="B94" s="31"/>
      <c r="C94" s="31"/>
      <c r="D94" s="181"/>
      <c r="E94" s="48"/>
      <c r="F94" s="48"/>
      <c r="G94" s="31"/>
      <c r="H94" s="181"/>
      <c r="O94" s="48"/>
      <c r="P94" s="31"/>
      <c r="Q94" s="48"/>
      <c r="R94" s="31"/>
      <c r="S94" s="31"/>
      <c r="T94" s="31"/>
      <c r="U94" s="31"/>
    </row>
    <row r="95" spans="2:21" s="64" customFormat="1">
      <c r="B95" s="31"/>
      <c r="C95" s="31"/>
      <c r="D95" s="181"/>
      <c r="E95" s="48"/>
      <c r="F95" s="48"/>
      <c r="G95" s="31"/>
      <c r="H95" s="181"/>
      <c r="O95" s="48"/>
      <c r="P95" s="31"/>
      <c r="Q95" s="48"/>
      <c r="R95" s="31"/>
      <c r="S95" s="31"/>
      <c r="T95" s="31"/>
      <c r="U95" s="31"/>
    </row>
    <row r="96" spans="2:21" s="64" customFormat="1">
      <c r="B96" s="31"/>
      <c r="C96" s="31"/>
      <c r="D96" s="181"/>
      <c r="E96" s="48"/>
      <c r="F96" s="48"/>
      <c r="G96" s="31"/>
      <c r="H96" s="181"/>
      <c r="O96" s="48"/>
      <c r="P96" s="31"/>
      <c r="Q96" s="48"/>
      <c r="R96" s="31"/>
      <c r="S96" s="31"/>
      <c r="T96" s="31"/>
      <c r="U96" s="31"/>
    </row>
    <row r="97" spans="2:21" s="64" customFormat="1">
      <c r="B97" s="31"/>
      <c r="C97" s="31"/>
      <c r="D97" s="181"/>
      <c r="E97" s="48"/>
      <c r="F97" s="48"/>
      <c r="G97" s="31"/>
      <c r="H97" s="181"/>
      <c r="O97" s="48"/>
      <c r="P97" s="31"/>
      <c r="Q97" s="48"/>
      <c r="R97" s="31"/>
      <c r="S97" s="31"/>
      <c r="T97" s="31"/>
      <c r="U97" s="31"/>
    </row>
    <row r="98" spans="2:21" s="64" customFormat="1">
      <c r="B98" s="31"/>
      <c r="C98" s="31"/>
      <c r="D98" s="181"/>
      <c r="E98" s="48"/>
      <c r="F98" s="48"/>
      <c r="G98" s="31"/>
      <c r="H98" s="181"/>
      <c r="O98" s="48"/>
      <c r="P98" s="31"/>
      <c r="Q98" s="48"/>
      <c r="R98" s="31"/>
      <c r="S98" s="31"/>
      <c r="T98" s="31"/>
      <c r="U98" s="31"/>
    </row>
    <row r="99" spans="2:21" s="64" customFormat="1">
      <c r="B99" s="31"/>
      <c r="C99" s="31"/>
      <c r="D99" s="181"/>
      <c r="E99" s="48"/>
      <c r="F99" s="48"/>
      <c r="G99" s="31"/>
      <c r="H99" s="181"/>
      <c r="O99" s="48"/>
      <c r="P99" s="31"/>
      <c r="Q99" s="48"/>
      <c r="R99" s="31"/>
      <c r="S99" s="31"/>
      <c r="T99" s="31"/>
      <c r="U99" s="31"/>
    </row>
    <row r="100" spans="2:21" s="64" customFormat="1">
      <c r="B100" s="31"/>
      <c r="C100" s="31"/>
      <c r="D100" s="181"/>
      <c r="E100" s="48"/>
      <c r="F100" s="48"/>
      <c r="G100" s="31"/>
      <c r="H100" s="181"/>
      <c r="O100" s="48"/>
      <c r="P100" s="31"/>
      <c r="Q100" s="48"/>
      <c r="R100" s="31"/>
      <c r="S100" s="31"/>
      <c r="T100" s="31"/>
      <c r="U100" s="31"/>
    </row>
    <row r="101" spans="2:21" s="64" customFormat="1">
      <c r="B101" s="31"/>
      <c r="C101" s="31"/>
      <c r="D101" s="181"/>
      <c r="E101" s="48"/>
      <c r="F101" s="48"/>
      <c r="G101" s="31"/>
      <c r="H101" s="181"/>
      <c r="O101" s="48"/>
      <c r="P101" s="31"/>
      <c r="Q101" s="48"/>
      <c r="R101" s="31"/>
      <c r="S101" s="31"/>
      <c r="T101" s="31"/>
      <c r="U101" s="31"/>
    </row>
    <row r="102" spans="2:21" s="64" customFormat="1">
      <c r="B102" s="31"/>
      <c r="C102" s="31"/>
      <c r="D102" s="181"/>
      <c r="E102" s="48"/>
      <c r="F102" s="48"/>
      <c r="G102" s="31"/>
      <c r="H102" s="181"/>
      <c r="O102" s="48"/>
      <c r="P102" s="31"/>
      <c r="Q102" s="48"/>
      <c r="R102" s="31"/>
      <c r="S102" s="31"/>
      <c r="T102" s="31"/>
      <c r="U102" s="31"/>
    </row>
    <row r="103" spans="2:21" s="64" customFormat="1">
      <c r="B103" s="31"/>
      <c r="C103" s="31"/>
      <c r="D103" s="181"/>
      <c r="E103" s="48"/>
      <c r="F103" s="48"/>
      <c r="G103" s="31"/>
      <c r="H103" s="181"/>
      <c r="O103" s="48"/>
      <c r="P103" s="31"/>
      <c r="Q103" s="48"/>
      <c r="R103" s="31"/>
      <c r="S103" s="31"/>
      <c r="T103" s="31"/>
      <c r="U103" s="31"/>
    </row>
    <row r="104" spans="2:21" s="64" customFormat="1">
      <c r="B104" s="31"/>
      <c r="C104" s="31"/>
      <c r="D104" s="181"/>
      <c r="E104" s="48"/>
      <c r="F104" s="48"/>
      <c r="G104" s="31"/>
      <c r="H104" s="181"/>
      <c r="O104" s="48"/>
      <c r="P104" s="31"/>
      <c r="Q104" s="48"/>
      <c r="R104" s="31"/>
      <c r="S104" s="31"/>
      <c r="T104" s="31"/>
      <c r="U104" s="31"/>
    </row>
    <row r="105" spans="2:21" s="64" customFormat="1">
      <c r="B105" s="31"/>
      <c r="C105" s="31"/>
      <c r="D105" s="181"/>
      <c r="E105" s="48"/>
      <c r="F105" s="48"/>
      <c r="G105" s="31"/>
      <c r="H105" s="181"/>
      <c r="O105" s="48"/>
      <c r="P105" s="31"/>
      <c r="Q105" s="48"/>
      <c r="R105" s="31"/>
      <c r="S105" s="31"/>
      <c r="T105" s="31"/>
      <c r="U105" s="31"/>
    </row>
    <row r="106" spans="2:21" s="64" customFormat="1">
      <c r="B106" s="31"/>
      <c r="C106" s="31"/>
      <c r="D106" s="181"/>
      <c r="E106" s="48"/>
      <c r="F106" s="48"/>
      <c r="G106" s="31"/>
      <c r="H106" s="181"/>
      <c r="O106" s="48"/>
      <c r="P106" s="31"/>
      <c r="Q106" s="48"/>
      <c r="R106" s="31"/>
      <c r="S106" s="31"/>
      <c r="T106" s="31"/>
      <c r="U106" s="31"/>
    </row>
    <row r="107" spans="2:21" s="64" customFormat="1">
      <c r="B107" s="31"/>
      <c r="C107" s="31"/>
      <c r="D107" s="181"/>
      <c r="E107" s="48"/>
      <c r="F107" s="48"/>
      <c r="G107" s="31"/>
      <c r="H107" s="181"/>
      <c r="O107" s="48"/>
      <c r="P107" s="31"/>
      <c r="Q107" s="48"/>
      <c r="R107" s="31"/>
      <c r="S107" s="31"/>
      <c r="T107" s="31"/>
      <c r="U107" s="31"/>
    </row>
    <row r="108" spans="2:21" s="64" customFormat="1">
      <c r="B108" s="31"/>
      <c r="C108" s="31"/>
      <c r="D108" s="181"/>
      <c r="E108" s="48"/>
      <c r="F108" s="48"/>
      <c r="G108" s="31"/>
      <c r="H108" s="181"/>
      <c r="O108" s="48"/>
      <c r="P108" s="31"/>
      <c r="Q108" s="48"/>
      <c r="R108" s="31"/>
      <c r="S108" s="31"/>
      <c r="T108" s="31"/>
      <c r="U108" s="31"/>
    </row>
    <row r="109" spans="2:21" s="64" customFormat="1">
      <c r="B109" s="31"/>
      <c r="C109" s="31"/>
      <c r="D109" s="181"/>
      <c r="E109" s="48"/>
      <c r="F109" s="48"/>
      <c r="G109" s="31"/>
      <c r="H109" s="181"/>
      <c r="O109" s="48"/>
      <c r="P109" s="31"/>
      <c r="Q109" s="48"/>
      <c r="R109" s="31"/>
      <c r="S109" s="31"/>
      <c r="T109" s="31"/>
      <c r="U109" s="31"/>
    </row>
    <row r="110" spans="2:21" s="64" customFormat="1">
      <c r="B110" s="31"/>
      <c r="C110" s="31"/>
      <c r="D110" s="181"/>
      <c r="E110" s="48"/>
      <c r="F110" s="48"/>
      <c r="G110" s="31"/>
      <c r="H110" s="181"/>
      <c r="O110" s="48"/>
      <c r="P110" s="31"/>
      <c r="Q110" s="48"/>
      <c r="R110" s="31"/>
      <c r="S110" s="31"/>
      <c r="T110" s="31"/>
      <c r="U110" s="31"/>
    </row>
    <row r="111" spans="2:21" s="64" customFormat="1">
      <c r="B111" s="31"/>
      <c r="C111" s="31"/>
      <c r="D111" s="181"/>
      <c r="E111" s="48"/>
      <c r="F111" s="48"/>
      <c r="G111" s="31"/>
      <c r="H111" s="181"/>
      <c r="O111" s="48"/>
      <c r="P111" s="31"/>
      <c r="Q111" s="48"/>
      <c r="R111" s="31"/>
      <c r="S111" s="31"/>
      <c r="T111" s="31"/>
      <c r="U111" s="31"/>
    </row>
    <row r="112" spans="2:21" s="64" customFormat="1">
      <c r="B112" s="31"/>
      <c r="C112" s="31"/>
      <c r="D112" s="181"/>
      <c r="E112" s="48"/>
      <c r="F112" s="48"/>
      <c r="G112" s="31"/>
      <c r="H112" s="181"/>
      <c r="O112" s="48"/>
      <c r="P112" s="31"/>
      <c r="Q112" s="48"/>
      <c r="R112" s="31"/>
      <c r="S112" s="31"/>
      <c r="T112" s="31"/>
      <c r="U112" s="31"/>
    </row>
    <row r="113" spans="2:21" s="64" customFormat="1">
      <c r="B113" s="31"/>
      <c r="C113" s="31"/>
      <c r="D113" s="181"/>
      <c r="E113" s="48"/>
      <c r="F113" s="48"/>
      <c r="G113" s="31"/>
      <c r="H113" s="181"/>
      <c r="O113" s="48"/>
      <c r="P113" s="31"/>
      <c r="Q113" s="48"/>
      <c r="R113" s="31"/>
      <c r="S113" s="31"/>
      <c r="T113" s="31"/>
      <c r="U113" s="31"/>
    </row>
    <row r="114" spans="2:21" s="64" customFormat="1">
      <c r="B114" s="31"/>
      <c r="C114" s="31"/>
      <c r="D114" s="181"/>
      <c r="E114" s="48"/>
      <c r="F114" s="48"/>
      <c r="G114" s="31"/>
      <c r="H114" s="181"/>
      <c r="O114" s="48"/>
      <c r="P114" s="31"/>
      <c r="Q114" s="48"/>
      <c r="R114" s="31"/>
      <c r="S114" s="31"/>
      <c r="T114" s="31"/>
      <c r="U114" s="31"/>
    </row>
    <row r="115" spans="2:21" s="64" customFormat="1">
      <c r="B115" s="31"/>
      <c r="C115" s="31"/>
      <c r="D115" s="181"/>
      <c r="E115" s="48"/>
      <c r="F115" s="48"/>
      <c r="G115" s="31"/>
      <c r="H115" s="181"/>
      <c r="O115" s="48"/>
      <c r="P115" s="31"/>
      <c r="Q115" s="48"/>
      <c r="R115" s="31"/>
      <c r="S115" s="31"/>
      <c r="T115" s="31"/>
      <c r="U115" s="31"/>
    </row>
    <row r="116" spans="2:21" s="64" customFormat="1">
      <c r="B116" s="31"/>
      <c r="C116" s="31"/>
      <c r="D116" s="181"/>
      <c r="E116" s="48"/>
      <c r="F116" s="48"/>
      <c r="G116" s="31"/>
      <c r="H116" s="181"/>
      <c r="O116" s="48"/>
      <c r="P116" s="31"/>
      <c r="Q116" s="48"/>
      <c r="R116" s="31"/>
      <c r="S116" s="31"/>
      <c r="T116" s="31"/>
      <c r="U116" s="31"/>
    </row>
    <row r="117" spans="2:21" s="64" customFormat="1">
      <c r="B117" s="31"/>
      <c r="C117" s="31"/>
      <c r="D117" s="181"/>
      <c r="E117" s="48"/>
      <c r="F117" s="48"/>
      <c r="G117" s="31"/>
      <c r="H117" s="181"/>
      <c r="O117" s="48"/>
      <c r="P117" s="31"/>
      <c r="Q117" s="48"/>
      <c r="R117" s="31"/>
      <c r="S117" s="31"/>
      <c r="T117" s="31"/>
      <c r="U117" s="31"/>
    </row>
    <row r="118" spans="2:21" s="64" customFormat="1">
      <c r="B118" s="31"/>
      <c r="C118" s="31"/>
      <c r="D118" s="181"/>
      <c r="E118" s="48"/>
      <c r="F118" s="48"/>
      <c r="G118" s="31"/>
      <c r="H118" s="181"/>
      <c r="O118" s="48"/>
      <c r="P118" s="31"/>
      <c r="Q118" s="48"/>
      <c r="R118" s="31"/>
      <c r="S118" s="31"/>
      <c r="T118" s="31"/>
      <c r="U118" s="31"/>
    </row>
    <row r="119" spans="2:21" s="64" customFormat="1">
      <c r="B119" s="31"/>
      <c r="C119" s="31"/>
      <c r="D119" s="181"/>
      <c r="E119" s="48"/>
      <c r="F119" s="48"/>
      <c r="G119" s="31"/>
      <c r="H119" s="181"/>
      <c r="O119" s="48"/>
      <c r="P119" s="31"/>
      <c r="Q119" s="48"/>
      <c r="R119" s="31"/>
      <c r="S119" s="31"/>
      <c r="T119" s="31"/>
      <c r="U119" s="31"/>
    </row>
    <row r="120" spans="2:21" s="64" customFormat="1">
      <c r="B120" s="31"/>
      <c r="C120" s="31"/>
      <c r="D120" s="181"/>
      <c r="E120" s="48"/>
      <c r="F120" s="48"/>
      <c r="G120" s="31"/>
      <c r="H120" s="181"/>
      <c r="O120" s="48"/>
      <c r="P120" s="31"/>
      <c r="Q120" s="48"/>
      <c r="R120" s="31"/>
      <c r="S120" s="31"/>
      <c r="T120" s="31"/>
      <c r="U120" s="31"/>
    </row>
    <row r="121" spans="2:21" s="64" customFormat="1">
      <c r="B121" s="31"/>
      <c r="C121" s="31"/>
      <c r="D121" s="181"/>
      <c r="E121" s="48"/>
      <c r="F121" s="48"/>
      <c r="G121" s="31"/>
      <c r="H121" s="181"/>
      <c r="O121" s="48"/>
      <c r="P121" s="31"/>
      <c r="Q121" s="48"/>
      <c r="R121" s="31"/>
      <c r="S121" s="31"/>
      <c r="T121" s="31"/>
      <c r="U121" s="31"/>
    </row>
    <row r="122" spans="2:21" s="64" customFormat="1">
      <c r="B122" s="31"/>
      <c r="C122" s="31"/>
      <c r="D122" s="181"/>
      <c r="E122" s="48"/>
      <c r="F122" s="48"/>
      <c r="G122" s="31"/>
      <c r="H122" s="181"/>
      <c r="O122" s="48"/>
      <c r="P122" s="31"/>
      <c r="Q122" s="48"/>
      <c r="R122" s="31"/>
      <c r="S122" s="31"/>
      <c r="T122" s="31"/>
      <c r="U122" s="31"/>
    </row>
    <row r="123" spans="2:21" s="64" customFormat="1">
      <c r="B123" s="31"/>
      <c r="C123" s="31"/>
      <c r="D123" s="181"/>
      <c r="E123" s="48"/>
      <c r="F123" s="48"/>
      <c r="G123" s="31"/>
      <c r="H123" s="181"/>
      <c r="O123" s="48"/>
      <c r="P123" s="31"/>
      <c r="Q123" s="48"/>
      <c r="R123" s="31"/>
      <c r="S123" s="31"/>
      <c r="T123" s="31"/>
      <c r="U123" s="31"/>
    </row>
    <row r="124" spans="2:21" s="64" customFormat="1">
      <c r="B124" s="31"/>
      <c r="C124" s="31"/>
      <c r="D124" s="181"/>
      <c r="E124" s="48"/>
      <c r="F124" s="48"/>
      <c r="G124" s="31"/>
      <c r="H124" s="181"/>
      <c r="O124" s="48"/>
      <c r="P124" s="31"/>
      <c r="Q124" s="48"/>
      <c r="R124" s="31"/>
      <c r="S124" s="31"/>
      <c r="T124" s="31"/>
      <c r="U124" s="31"/>
    </row>
    <row r="125" spans="2:21" s="64" customFormat="1">
      <c r="B125" s="31"/>
      <c r="C125" s="31"/>
      <c r="D125" s="181"/>
      <c r="E125" s="48"/>
      <c r="F125" s="48"/>
      <c r="G125" s="31"/>
      <c r="H125" s="181"/>
      <c r="O125" s="48"/>
      <c r="P125" s="31"/>
      <c r="Q125" s="48"/>
      <c r="R125" s="31"/>
      <c r="S125" s="31"/>
      <c r="T125" s="31"/>
      <c r="U125" s="31"/>
    </row>
    <row r="126" spans="2:21" s="64" customFormat="1">
      <c r="B126" s="31"/>
      <c r="C126" s="31"/>
      <c r="D126" s="181"/>
      <c r="E126" s="48"/>
      <c r="F126" s="48"/>
      <c r="G126" s="31"/>
      <c r="H126" s="181"/>
      <c r="O126" s="48"/>
      <c r="P126" s="31"/>
      <c r="Q126" s="48"/>
      <c r="R126" s="31"/>
      <c r="S126" s="31"/>
      <c r="T126" s="31"/>
      <c r="U126" s="31"/>
    </row>
    <row r="127" spans="2:21" s="64" customFormat="1">
      <c r="B127" s="31"/>
      <c r="C127" s="31"/>
      <c r="D127" s="181"/>
      <c r="E127" s="48"/>
      <c r="F127" s="48"/>
      <c r="G127" s="31"/>
      <c r="H127" s="181"/>
      <c r="O127" s="48"/>
      <c r="P127" s="31"/>
      <c r="Q127" s="48"/>
      <c r="R127" s="31"/>
      <c r="S127" s="31"/>
      <c r="T127" s="31"/>
      <c r="U127" s="31"/>
    </row>
    <row r="128" spans="2:21" s="64" customFormat="1">
      <c r="B128" s="31"/>
      <c r="C128" s="31"/>
      <c r="D128" s="181"/>
      <c r="E128" s="48"/>
      <c r="F128" s="48"/>
      <c r="G128" s="31"/>
      <c r="H128" s="181"/>
      <c r="O128" s="48"/>
      <c r="P128" s="31"/>
      <c r="Q128" s="48"/>
      <c r="R128" s="31"/>
      <c r="S128" s="31"/>
      <c r="T128" s="31"/>
      <c r="U128" s="31"/>
    </row>
    <row r="129" spans="2:21" s="64" customFormat="1">
      <c r="B129" s="31"/>
      <c r="C129" s="31"/>
      <c r="D129" s="181"/>
      <c r="E129" s="48"/>
      <c r="F129" s="48"/>
      <c r="G129" s="31"/>
      <c r="H129" s="181"/>
      <c r="O129" s="48"/>
      <c r="P129" s="31"/>
      <c r="Q129" s="48"/>
      <c r="R129" s="31"/>
      <c r="S129" s="31"/>
      <c r="T129" s="31"/>
      <c r="U129" s="31"/>
    </row>
    <row r="130" spans="2:21" s="64" customFormat="1">
      <c r="B130" s="31"/>
      <c r="C130" s="31"/>
      <c r="D130" s="181"/>
      <c r="E130" s="48"/>
      <c r="F130" s="48"/>
      <c r="G130" s="31"/>
      <c r="H130" s="181"/>
      <c r="O130" s="48"/>
      <c r="P130" s="31"/>
      <c r="Q130" s="48"/>
      <c r="R130" s="31"/>
      <c r="S130" s="31"/>
      <c r="T130" s="31"/>
      <c r="U130" s="31"/>
    </row>
    <row r="131" spans="2:21" s="64" customFormat="1">
      <c r="B131" s="31"/>
      <c r="C131" s="31"/>
      <c r="D131" s="181"/>
      <c r="E131" s="48"/>
      <c r="F131" s="48"/>
      <c r="G131" s="31"/>
      <c r="H131" s="181"/>
      <c r="O131" s="48"/>
      <c r="P131" s="31"/>
      <c r="Q131" s="48"/>
      <c r="R131" s="31"/>
      <c r="S131" s="31"/>
      <c r="T131" s="31"/>
      <c r="U131" s="31"/>
    </row>
    <row r="132" spans="2:21" s="64" customFormat="1">
      <c r="B132" s="31"/>
      <c r="C132" s="31"/>
      <c r="D132" s="181"/>
      <c r="E132" s="48"/>
      <c r="F132" s="48"/>
      <c r="G132" s="31"/>
      <c r="H132" s="181"/>
      <c r="O132" s="48"/>
      <c r="P132" s="31"/>
      <c r="Q132" s="48"/>
      <c r="R132" s="31"/>
      <c r="S132" s="31"/>
      <c r="T132" s="31"/>
      <c r="U132" s="31"/>
    </row>
    <row r="133" spans="2:21" s="64" customFormat="1">
      <c r="B133" s="31"/>
      <c r="C133" s="31"/>
      <c r="D133" s="181"/>
      <c r="E133" s="48"/>
      <c r="F133" s="48"/>
      <c r="G133" s="31"/>
      <c r="H133" s="181"/>
      <c r="O133" s="48"/>
      <c r="P133" s="31"/>
      <c r="Q133" s="48"/>
      <c r="R133" s="31"/>
      <c r="S133" s="31"/>
      <c r="T133" s="31"/>
      <c r="U133" s="31"/>
    </row>
    <row r="134" spans="2:21" s="64" customFormat="1">
      <c r="B134" s="31"/>
      <c r="C134" s="31"/>
      <c r="D134" s="181"/>
      <c r="E134" s="48"/>
      <c r="F134" s="48"/>
      <c r="G134" s="31"/>
      <c r="H134" s="181"/>
      <c r="O134" s="48"/>
      <c r="P134" s="31"/>
      <c r="Q134" s="48"/>
      <c r="R134" s="31"/>
      <c r="S134" s="31"/>
      <c r="T134" s="31"/>
      <c r="U134" s="31"/>
    </row>
    <row r="135" spans="2:21" s="64" customFormat="1">
      <c r="B135" s="31"/>
      <c r="C135" s="31"/>
      <c r="D135" s="181"/>
      <c r="E135" s="48"/>
      <c r="F135" s="48"/>
      <c r="G135" s="31"/>
      <c r="H135" s="181"/>
      <c r="O135" s="48"/>
      <c r="P135" s="31"/>
      <c r="Q135" s="48"/>
      <c r="R135" s="31"/>
      <c r="S135" s="31"/>
      <c r="T135" s="31"/>
      <c r="U135" s="31"/>
    </row>
    <row r="136" spans="2:21" s="64" customFormat="1">
      <c r="B136" s="31"/>
      <c r="C136" s="31"/>
      <c r="D136" s="181"/>
      <c r="E136" s="48"/>
      <c r="F136" s="48"/>
      <c r="G136" s="31"/>
      <c r="H136" s="181"/>
      <c r="O136" s="48"/>
      <c r="P136" s="31"/>
      <c r="Q136" s="48"/>
      <c r="R136" s="31"/>
      <c r="S136" s="31"/>
      <c r="T136" s="31"/>
      <c r="U136" s="31"/>
    </row>
    <row r="137" spans="2:21" s="64" customFormat="1">
      <c r="B137" s="31"/>
      <c r="C137" s="31"/>
      <c r="D137" s="181"/>
      <c r="E137" s="48"/>
      <c r="F137" s="48"/>
      <c r="G137" s="31"/>
      <c r="H137" s="181"/>
      <c r="O137" s="48"/>
      <c r="P137" s="31"/>
      <c r="Q137" s="48"/>
      <c r="R137" s="31"/>
      <c r="S137" s="31"/>
      <c r="T137" s="31"/>
      <c r="U137" s="31"/>
    </row>
    <row r="138" spans="2:21" s="64" customFormat="1">
      <c r="B138" s="31"/>
      <c r="C138" s="31"/>
      <c r="D138" s="181"/>
      <c r="E138" s="48"/>
      <c r="F138" s="48"/>
      <c r="G138" s="31"/>
      <c r="H138" s="181"/>
      <c r="O138" s="48"/>
      <c r="P138" s="31"/>
      <c r="Q138" s="48"/>
      <c r="R138" s="31"/>
      <c r="S138" s="31"/>
      <c r="T138" s="31"/>
      <c r="U138" s="31"/>
    </row>
    <row r="139" spans="2:21" s="64" customFormat="1">
      <c r="B139" s="31"/>
      <c r="C139" s="31"/>
      <c r="D139" s="181"/>
      <c r="E139" s="48"/>
      <c r="F139" s="48"/>
      <c r="G139" s="31"/>
      <c r="H139" s="181"/>
      <c r="O139" s="48"/>
      <c r="P139" s="31"/>
      <c r="Q139" s="48"/>
      <c r="R139" s="31"/>
      <c r="S139" s="31"/>
      <c r="T139" s="31"/>
      <c r="U139" s="31"/>
    </row>
    <row r="140" spans="2:21" s="64" customFormat="1">
      <c r="B140" s="31"/>
      <c r="C140" s="31"/>
      <c r="D140" s="181"/>
      <c r="E140" s="48"/>
      <c r="F140" s="48"/>
      <c r="G140" s="31"/>
      <c r="H140" s="181"/>
      <c r="O140" s="48"/>
      <c r="P140" s="31"/>
      <c r="Q140" s="48"/>
      <c r="R140" s="31"/>
      <c r="S140" s="31"/>
      <c r="T140" s="31"/>
      <c r="U140" s="31"/>
    </row>
    <row r="141" spans="2:21" s="64" customFormat="1">
      <c r="B141" s="31"/>
      <c r="C141" s="31"/>
      <c r="D141" s="181"/>
      <c r="E141" s="48"/>
      <c r="F141" s="48"/>
      <c r="G141" s="31"/>
      <c r="H141" s="181"/>
      <c r="O141" s="48"/>
      <c r="P141" s="31"/>
      <c r="Q141" s="48"/>
      <c r="R141" s="31"/>
      <c r="S141" s="31"/>
      <c r="T141" s="31"/>
      <c r="U141" s="31"/>
    </row>
    <row r="142" spans="2:21" s="64" customFormat="1">
      <c r="B142" s="31"/>
      <c r="C142" s="31"/>
      <c r="D142" s="181"/>
      <c r="E142" s="48"/>
      <c r="F142" s="48"/>
      <c r="G142" s="31"/>
      <c r="H142" s="181"/>
      <c r="O142" s="48"/>
      <c r="P142" s="31"/>
      <c r="Q142" s="48"/>
      <c r="R142" s="31"/>
      <c r="S142" s="31"/>
      <c r="T142" s="31"/>
      <c r="U142" s="31"/>
    </row>
    <row r="143" spans="2:21" s="64" customFormat="1">
      <c r="B143" s="31"/>
      <c r="C143" s="31"/>
      <c r="D143" s="181"/>
      <c r="E143" s="48"/>
      <c r="F143" s="48"/>
      <c r="G143" s="31"/>
      <c r="H143" s="181"/>
      <c r="O143" s="48"/>
      <c r="P143" s="31"/>
      <c r="Q143" s="48"/>
      <c r="R143" s="31"/>
      <c r="S143" s="31"/>
      <c r="T143" s="31"/>
      <c r="U143" s="31"/>
    </row>
    <row r="144" spans="2:21" s="64" customFormat="1">
      <c r="B144" s="31"/>
      <c r="C144" s="31"/>
      <c r="D144" s="181"/>
      <c r="E144" s="48"/>
      <c r="F144" s="48"/>
      <c r="G144" s="31"/>
      <c r="H144" s="181"/>
      <c r="O144" s="48"/>
      <c r="P144" s="31"/>
      <c r="Q144" s="48"/>
      <c r="R144" s="31"/>
      <c r="S144" s="31"/>
      <c r="T144" s="31"/>
      <c r="U144" s="31"/>
    </row>
    <row r="145" spans="2:24" s="64" customFormat="1">
      <c r="B145" s="31"/>
      <c r="C145" s="31"/>
      <c r="D145" s="181"/>
      <c r="E145" s="48"/>
      <c r="F145" s="48"/>
      <c r="G145" s="31"/>
      <c r="H145" s="181"/>
      <c r="O145" s="48"/>
      <c r="P145" s="31"/>
      <c r="Q145" s="48"/>
      <c r="R145" s="31"/>
      <c r="S145" s="31"/>
      <c r="T145" s="31"/>
      <c r="U145" s="31"/>
    </row>
    <row r="146" spans="2:24" s="64" customFormat="1">
      <c r="B146" s="31"/>
      <c r="C146" s="31"/>
      <c r="D146" s="181"/>
      <c r="E146" s="48"/>
      <c r="F146" s="48"/>
      <c r="G146" s="31"/>
      <c r="H146" s="181"/>
      <c r="O146" s="48"/>
      <c r="P146" s="31"/>
      <c r="Q146" s="48"/>
      <c r="R146" s="31"/>
      <c r="S146" s="31"/>
      <c r="T146" s="31"/>
      <c r="U146" s="31"/>
    </row>
    <row r="147" spans="2:24" s="64" customFormat="1">
      <c r="B147" s="31"/>
      <c r="C147" s="31"/>
      <c r="D147" s="181"/>
      <c r="E147" s="48"/>
      <c r="F147" s="48"/>
      <c r="G147" s="31"/>
      <c r="H147" s="181"/>
      <c r="O147" s="48"/>
      <c r="P147" s="31"/>
      <c r="Q147" s="48"/>
      <c r="R147" s="31"/>
      <c r="S147" s="31"/>
      <c r="T147" s="31"/>
      <c r="U147" s="31"/>
    </row>
    <row r="148" spans="2:24" s="64" customFormat="1">
      <c r="B148" s="31"/>
      <c r="C148" s="31"/>
      <c r="D148" s="181"/>
      <c r="E148" s="48"/>
      <c r="F148" s="48"/>
      <c r="G148" s="31"/>
      <c r="H148" s="181"/>
      <c r="O148" s="48"/>
      <c r="P148" s="31"/>
      <c r="Q148" s="48"/>
      <c r="R148" s="31"/>
      <c r="S148" s="31"/>
      <c r="T148" s="31"/>
      <c r="U148" s="31"/>
    </row>
    <row r="149" spans="2:24" s="64" customFormat="1">
      <c r="B149" s="31"/>
      <c r="C149" s="31"/>
      <c r="D149" s="181"/>
      <c r="E149" s="48"/>
      <c r="F149" s="48"/>
      <c r="G149" s="31"/>
      <c r="H149" s="181"/>
      <c r="O149" s="48"/>
      <c r="P149" s="31"/>
      <c r="Q149" s="48"/>
      <c r="R149" s="31"/>
      <c r="S149" s="31"/>
      <c r="T149" s="31"/>
      <c r="U149" s="31"/>
    </row>
    <row r="150" spans="2:24" s="64" customFormat="1">
      <c r="B150" s="31"/>
      <c r="C150" s="31"/>
      <c r="D150" s="181"/>
      <c r="E150" s="48"/>
      <c r="F150" s="48"/>
      <c r="G150" s="31"/>
      <c r="H150" s="181"/>
      <c r="O150" s="48"/>
      <c r="P150" s="31"/>
      <c r="Q150" s="48"/>
      <c r="R150" s="31"/>
      <c r="S150" s="31"/>
      <c r="T150" s="31"/>
      <c r="U150" s="31"/>
    </row>
    <row r="151" spans="2:24" s="64" customFormat="1">
      <c r="B151" s="31"/>
      <c r="C151" s="31"/>
      <c r="D151" s="181"/>
      <c r="E151" s="48"/>
      <c r="F151" s="48"/>
      <c r="G151" s="31"/>
      <c r="H151" s="181"/>
      <c r="O151" s="48"/>
      <c r="P151" s="31"/>
      <c r="Q151" s="48"/>
      <c r="R151" s="31"/>
      <c r="S151" s="31"/>
      <c r="T151" s="31"/>
      <c r="U151" s="31"/>
    </row>
    <row r="152" spans="2:24" s="64" customFormat="1">
      <c r="B152" s="31"/>
      <c r="C152" s="31"/>
      <c r="D152" s="181"/>
      <c r="E152" s="48"/>
      <c r="F152" s="48"/>
      <c r="G152" s="31"/>
      <c r="H152" s="181"/>
      <c r="O152" s="48"/>
      <c r="P152" s="31"/>
      <c r="Q152" s="48"/>
      <c r="R152" s="31"/>
      <c r="S152" s="31"/>
      <c r="T152" s="31"/>
      <c r="U152" s="31"/>
    </row>
    <row r="153" spans="2:24" s="64" customFormat="1">
      <c r="B153" s="31"/>
      <c r="C153" s="31"/>
      <c r="D153" s="181"/>
      <c r="E153" s="48"/>
      <c r="F153" s="48"/>
      <c r="G153" s="31"/>
      <c r="H153" s="181"/>
      <c r="O153" s="48"/>
      <c r="P153" s="31"/>
      <c r="Q153" s="48"/>
      <c r="R153" s="31"/>
      <c r="S153" s="31"/>
      <c r="T153" s="31"/>
      <c r="U153" s="31"/>
    </row>
    <row r="154" spans="2:24">
      <c r="O154" s="312"/>
      <c r="P154" s="117"/>
      <c r="Q154" s="312"/>
      <c r="R154" s="117"/>
      <c r="T154" s="117"/>
      <c r="U154" s="117"/>
      <c r="V154" s="45"/>
      <c r="W154" s="45"/>
      <c r="X154" s="45"/>
    </row>
    <row r="155" spans="2:24">
      <c r="O155" s="312"/>
      <c r="P155" s="117"/>
      <c r="Q155" s="312"/>
      <c r="R155" s="117"/>
      <c r="T155" s="117"/>
      <c r="U155" s="117"/>
      <c r="V155" s="45"/>
      <c r="W155" s="45"/>
      <c r="X155" s="45"/>
    </row>
    <row r="156" spans="2:24">
      <c r="O156" s="312"/>
      <c r="P156" s="117"/>
      <c r="Q156" s="312"/>
      <c r="R156" s="117"/>
      <c r="T156" s="117"/>
      <c r="U156" s="117"/>
      <c r="V156" s="45"/>
      <c r="W156" s="45"/>
      <c r="X156" s="45"/>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pane ySplit="1" topLeftCell="A2" activePane="bottomLeft" state="frozen"/>
      <selection pane="bottomLeft" activeCell="J27" sqref="J27"/>
    </sheetView>
  </sheetViews>
  <sheetFormatPr defaultColWidth="8.85546875" defaultRowHeight="15"/>
  <cols>
    <col min="1" max="1" width="29.85546875" style="288" bestFit="1" customWidth="1"/>
    <col min="2" max="7" width="20.42578125" style="288" customWidth="1"/>
    <col min="8" max="8" width="11.42578125" style="288" bestFit="1" customWidth="1"/>
    <col min="9" max="9" width="20.42578125" style="288" bestFit="1" customWidth="1"/>
    <col min="10" max="16384" width="8.85546875" style="288"/>
  </cols>
  <sheetData>
    <row r="1" spans="1:10">
      <c r="A1" s="286" t="s">
        <v>0</v>
      </c>
      <c r="B1" s="286" t="s">
        <v>1</v>
      </c>
      <c r="C1" s="286" t="s">
        <v>2</v>
      </c>
      <c r="D1" s="286" t="s">
        <v>3</v>
      </c>
      <c r="E1" s="286" t="s">
        <v>4</v>
      </c>
      <c r="F1" s="286" t="s">
        <v>1282</v>
      </c>
      <c r="G1" s="286" t="s">
        <v>1283</v>
      </c>
      <c r="H1" s="286" t="s">
        <v>5</v>
      </c>
      <c r="I1" s="286" t="s">
        <v>47</v>
      </c>
      <c r="J1" s="287" t="s">
        <v>7</v>
      </c>
    </row>
    <row r="2" spans="1:10" s="290" customFormat="1">
      <c r="A2" s="289" t="s">
        <v>167</v>
      </c>
      <c r="B2" s="289"/>
      <c r="C2" s="289"/>
      <c r="D2" s="289"/>
      <c r="E2" s="289"/>
      <c r="F2" s="289"/>
      <c r="G2" s="289"/>
    </row>
    <row r="3" spans="1:10" s="290" customFormat="1">
      <c r="A3" s="291" t="s">
        <v>23</v>
      </c>
      <c r="B3" s="289" t="str">
        <f>'2_0_tracking_splits'!K5</f>
        <v>data('q10')==="no"</v>
      </c>
      <c r="C3" s="289"/>
      <c r="D3" s="289"/>
      <c r="E3" s="289"/>
      <c r="F3" s="289"/>
      <c r="G3" s="289"/>
    </row>
    <row r="4" spans="1:10" s="290" customFormat="1">
      <c r="A4" s="289" t="s">
        <v>204</v>
      </c>
      <c r="B4" s="289"/>
      <c r="C4" s="289"/>
      <c r="D4" s="289"/>
      <c r="E4" s="289"/>
      <c r="F4" s="289"/>
      <c r="G4" s="289"/>
    </row>
    <row r="5" spans="1:10" s="290" customFormat="1">
      <c r="A5" s="291" t="s">
        <v>24</v>
      </c>
      <c r="B5" s="289"/>
      <c r="C5" s="289"/>
      <c r="D5" s="289"/>
      <c r="E5" s="289"/>
      <c r="F5" s="289"/>
      <c r="G5" s="289"/>
    </row>
    <row r="6" spans="1:10">
      <c r="A6" s="288" t="s">
        <v>144</v>
      </c>
    </row>
    <row r="7" spans="1:10">
      <c r="A7" s="288" t="s">
        <v>145</v>
      </c>
    </row>
    <row r="8" spans="1:10">
      <c r="A8" s="288" t="s">
        <v>793</v>
      </c>
    </row>
    <row r="10" spans="1:10">
      <c r="A10" s="292" t="s">
        <v>275</v>
      </c>
    </row>
    <row r="11" spans="1:10">
      <c r="A11" s="292" t="s">
        <v>276</v>
      </c>
    </row>
    <row r="12" spans="1:10">
      <c r="A12" s="292" t="s">
        <v>277</v>
      </c>
    </row>
    <row r="13" spans="1:10">
      <c r="A13" s="292" t="s">
        <v>278</v>
      </c>
    </row>
    <row r="14" spans="1:10">
      <c r="A14" s="292" t="s">
        <v>876</v>
      </c>
    </row>
    <row r="15" spans="1:10">
      <c r="A15" s="292" t="s">
        <v>279</v>
      </c>
    </row>
    <row r="16" spans="1:10">
      <c r="A16" s="288" t="s">
        <v>480</v>
      </c>
    </row>
    <row r="17" spans="1:1">
      <c r="A17" s="292" t="s">
        <v>603</v>
      </c>
    </row>
    <row r="18" spans="1:1" ht="15.75" customHeight="1">
      <c r="A18" s="292" t="s">
        <v>604</v>
      </c>
    </row>
    <row r="19" spans="1:1">
      <c r="A19" s="292" t="s">
        <v>605</v>
      </c>
    </row>
    <row r="20" spans="1:1">
      <c r="A20" s="292" t="s">
        <v>594</v>
      </c>
    </row>
    <row r="27" spans="1:1" ht="58.5" customHeight="1"/>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0"/>
  <sheetViews>
    <sheetView zoomScale="90" zoomScaleNormal="90" zoomScalePageLayoutView="90" workbookViewId="0">
      <pane ySplit="2" topLeftCell="A522" activePane="bottomLeft" state="frozen"/>
      <selection pane="bottomLeft" activeCell="M407" sqref="M407"/>
    </sheetView>
  </sheetViews>
  <sheetFormatPr defaultColWidth="8.85546875" defaultRowHeight="15"/>
  <cols>
    <col min="1" max="1" width="14" style="9" bestFit="1" customWidth="1"/>
    <col min="2" max="2" width="16.42578125" style="9" customWidth="1"/>
    <col min="3" max="7" width="15" style="9" customWidth="1"/>
    <col min="8" max="8" width="21.42578125" style="9" bestFit="1" customWidth="1"/>
    <col min="9" max="9" width="10.42578125" style="18" bestFit="1" customWidth="1"/>
    <col min="10" max="10" width="15.42578125" style="9" customWidth="1"/>
    <col min="11" max="11" width="8.85546875" style="9"/>
    <col min="12" max="12" width="23.140625" style="18" bestFit="1" customWidth="1"/>
    <col min="13" max="13" width="24.42578125" style="9" bestFit="1" customWidth="1"/>
    <col min="14" max="14" width="14.42578125" style="9" bestFit="1" customWidth="1"/>
    <col min="15" max="15" width="25.140625" style="70" customWidth="1"/>
    <col min="16" max="16" width="25.140625" style="30" customWidth="1"/>
    <col min="17" max="17" width="18.85546875" style="30" bestFit="1" customWidth="1"/>
    <col min="18" max="18" width="22" style="30" bestFit="1" customWidth="1"/>
    <col min="19" max="19" width="41.85546875" style="30" customWidth="1"/>
    <col min="20" max="20" width="22" style="30" customWidth="1"/>
    <col min="21" max="21" width="13" style="9" customWidth="1"/>
    <col min="22" max="22" width="47.42578125" style="9" customWidth="1"/>
    <col min="23" max="24" width="13" style="9" customWidth="1"/>
    <col min="25" max="16384" width="8.85546875" style="9"/>
  </cols>
  <sheetData>
    <row r="1" spans="1:27" s="332" customFormat="1" ht="30">
      <c r="A1" s="332" t="s">
        <v>5</v>
      </c>
      <c r="B1" s="94" t="s">
        <v>5</v>
      </c>
      <c r="C1" s="94" t="s">
        <v>5</v>
      </c>
      <c r="D1" s="94" t="s">
        <v>5</v>
      </c>
      <c r="E1" s="94" t="s">
        <v>5</v>
      </c>
      <c r="F1" s="94" t="s">
        <v>5</v>
      </c>
      <c r="G1" s="94" t="s">
        <v>5</v>
      </c>
      <c r="H1" s="94" t="s">
        <v>5</v>
      </c>
      <c r="I1" s="332" t="s">
        <v>5</v>
      </c>
      <c r="J1" s="334" t="s">
        <v>0</v>
      </c>
      <c r="K1" s="334" t="s">
        <v>1</v>
      </c>
      <c r="L1" s="332" t="s">
        <v>2</v>
      </c>
      <c r="M1" s="332" t="s">
        <v>3</v>
      </c>
      <c r="N1" s="94" t="s">
        <v>4</v>
      </c>
      <c r="O1" s="347" t="s">
        <v>1282</v>
      </c>
      <c r="P1" s="94" t="s">
        <v>1283</v>
      </c>
      <c r="Q1" s="73" t="s">
        <v>1286</v>
      </c>
      <c r="R1" s="62" t="s">
        <v>1287</v>
      </c>
      <c r="S1" s="62" t="s">
        <v>7</v>
      </c>
      <c r="T1" s="332" t="s">
        <v>47</v>
      </c>
      <c r="U1" s="332" t="s">
        <v>148</v>
      </c>
      <c r="V1" s="332" t="s">
        <v>25</v>
      </c>
      <c r="W1" s="52" t="s">
        <v>1288</v>
      </c>
      <c r="X1" s="52" t="s">
        <v>1289</v>
      </c>
      <c r="Y1" s="52" t="s">
        <v>6</v>
      </c>
      <c r="Z1" s="160" t="s">
        <v>374</v>
      </c>
      <c r="AA1" s="160" t="s">
        <v>375</v>
      </c>
    </row>
    <row r="2" spans="1:27" s="52" customFormat="1" ht="45">
      <c r="A2" s="102" t="s">
        <v>353</v>
      </c>
      <c r="B2" s="103" t="s">
        <v>354</v>
      </c>
      <c r="C2" s="102" t="s">
        <v>1187</v>
      </c>
      <c r="D2" s="103" t="s">
        <v>358</v>
      </c>
      <c r="E2" s="95" t="s">
        <v>355</v>
      </c>
      <c r="F2" s="102" t="s">
        <v>1186</v>
      </c>
      <c r="G2" s="79" t="s">
        <v>357</v>
      </c>
      <c r="H2" s="74" t="s">
        <v>356</v>
      </c>
      <c r="I2" s="74" t="s">
        <v>426</v>
      </c>
      <c r="J2" s="167"/>
      <c r="K2" s="15"/>
      <c r="O2" s="73"/>
      <c r="P2" s="62"/>
      <c r="Q2" s="62"/>
      <c r="R2" s="62"/>
      <c r="S2" s="62"/>
      <c r="T2" s="62"/>
    </row>
    <row r="3" spans="1:27" s="52" customFormat="1">
      <c r="A3" s="104" t="s">
        <v>364</v>
      </c>
      <c r="B3" s="104" t="s">
        <v>365</v>
      </c>
      <c r="C3" s="104" t="s">
        <v>365</v>
      </c>
      <c r="D3" s="104" t="s">
        <v>364</v>
      </c>
      <c r="E3" s="104" t="s">
        <v>365</v>
      </c>
      <c r="F3" s="104" t="s">
        <v>365</v>
      </c>
      <c r="G3" s="104" t="s">
        <v>364</v>
      </c>
      <c r="H3" s="105" t="s">
        <v>364</v>
      </c>
      <c r="I3" s="105" t="s">
        <v>364</v>
      </c>
      <c r="J3" s="167"/>
      <c r="K3" s="15"/>
      <c r="O3" s="73"/>
      <c r="P3" s="62"/>
      <c r="Q3" s="62"/>
      <c r="R3" s="62"/>
      <c r="S3" s="62"/>
      <c r="T3" s="62"/>
    </row>
    <row r="4" spans="1:27" s="52" customFormat="1">
      <c r="A4" s="104"/>
      <c r="B4" s="104"/>
      <c r="C4" s="104"/>
      <c r="D4" s="104"/>
      <c r="G4" s="104"/>
      <c r="H4" s="222"/>
      <c r="I4" s="331"/>
      <c r="J4" s="44" t="s">
        <v>20</v>
      </c>
      <c r="K4" s="15"/>
      <c r="O4" s="73"/>
      <c r="P4" s="62"/>
      <c r="Q4" s="62"/>
      <c r="R4" s="62"/>
      <c r="S4" s="62"/>
      <c r="T4" s="62"/>
    </row>
    <row r="5" spans="1:27" ht="60">
      <c r="B5" s="28" t="s">
        <v>598</v>
      </c>
      <c r="C5" s="28"/>
      <c r="D5" s="30"/>
      <c r="E5" s="348" t="s">
        <v>1555</v>
      </c>
      <c r="F5" s="314"/>
      <c r="H5" s="211"/>
      <c r="L5" s="16" t="s">
        <v>22</v>
      </c>
      <c r="O5" s="70" t="str">
        <f>E5</f>
        <v>16.2 الأصول الزراعية: تربية الحيوانات والطيور</v>
      </c>
      <c r="P5" s="30" t="str">
        <f>B5</f>
        <v>16.2 Agriculture Assets: Livestock/Poultry</v>
      </c>
    </row>
    <row r="6" spans="1:27" s="31" customFormat="1" ht="90">
      <c r="A6" s="31" t="str">
        <f>N6</f>
        <v>q16201</v>
      </c>
      <c r="B6" s="31" t="s">
        <v>482</v>
      </c>
      <c r="D6" s="31" t="str">
        <f>CONCATENATE(INDEX(choices!D:D,MATCH(M6,choices!A:A,0)),"
",IF(M6=INDEX(choices!A:A,MATCH(M6,choices!A:A,0)+1),INDEX(choices!D:D,MATCH(M6,choices!A:A,0)+1),""),IF(M6=INDEX(choices!A:A,MATCH(M6,choices!A:A,0)+1), "
",""),IF(M6=INDEX(choices!A:A,MATCH(M6,choices!A:A,0)+2),INDEX(choices!D:D,MATCH(M6,choices!A:A,0)+2),""),IF(M6=INDEX(choices!A:A,MATCH(M6,choices!A:A,0)+2), "
",""),IF(M6=INDEX(choices!A:A,MATCH(M6,choices!A:A,0)+3),INDEX(choices!D:D,MATCH(M6,choices!A:A,0)+3),""),IF(M6=INDEX(choices!A:A,MATCH(M6,choices!A:A,0)+3), "
",""),IF(M6=INDEX(choices!A:A,MATCH(M6,choices!A:A,0)+4),INDEX(choices!D:D,MATCH(M6,choices!A:A,0)+4),""),IF(M6=INDEX(choices!A:A,MATCH(M6,choices!A:A,0)+4), "
",""),IF(M6=INDEX(choices!A:A,MATCH(M6,choices!A:A,0)+5),INDEX(choices!D:D,MATCH(M6,choices!A:A,0)+5),""),IF(M6=INDEX(choices!A:A,MATCH(M6,choices!A:A,0)+5), "
",""),IF(M6=INDEX(choices!A:A,MATCH(M6,choices!A:A,0)+6),INDEX(choices!D:D,MATCH(M6,choices!A:A,0)+6),""),IF(M6=INDEX(choices!A:A,MATCH(M6,choices!A:A,0)+6), "
",""),IF(M6=INDEX(choices!A:A,MATCH(M6,choices!A:A,0)+7),INDEX(choices!D:D,MATCH(M6,choices!A:A,0)+7),""),IF(M6=INDEX(choices!A:A,MATCH(M6,choices!A:A,0)+7), "
",""),IF(M6=INDEX(choices!A:A,MATCH(M6,choices!A:A,0)+8),INDEX(choices!D:D,MATCH(M6,choices!A:A,0)+8),""),IF(M6=INDEX(choices!A:A,MATCH(M6,choices!A:A,0)+8), "
",""),IF(M6=INDEX(choices!A:A,MATCH(M6,choices!A:A,0)+9),INDEX(choices!D:D,MATCH(M6,choices!A:A,0)+9),""),IF(M6=INDEX(choices!A:A,MATCH(M6,choices!A:A,0)+9), "
",""),IF(M6=INDEX(choices!A:A,MATCH(M6,choices!A:A,0)+10),INDEX(choices!D:D,MATCH(M6,choices!A:A,0)+10),""),IF(M6=INDEX(choices!A:A,MATCH(M6,choices!A:A,0)+10), "
",""),IF(M6=INDEX(choices!A:A,MATCH(M6,choices!A:A,0)+11),INDEX(choices!D:D,MATCH(M6,choices!A:A,0)+11),""),IF(M6=INDEX(choices!A:A,MATCH(M6,choices!A:A,0)+11), "
",""),IF(M6=INDEX(choices!A:A,MATCH(M6,choices!A:A,0)+12),INDEX(choices!D:D,MATCH(M6,choices!A:A,0)+12),""),IF(M6=INDEX(choices!A:A,MATCH(M6,choices!A:A,0)+12), "
",""),IF(M6=INDEX(choices!A:A,MATCH(M6,choices!A:A,0)+13),INDEX(choices!D:D,MATCH(M6,choices!A:A,0)+13),""),IF(M6=INDEX(choices!A:A,MATCH(M6,choices!A:A,0)+13), "
",""),IF(M6=INDEX(choices!A:A,MATCH(M6,choices!A:A,0)+14),INDEX(choices!D:D,MATCH(M6,choices!A:A,0)+14),""),IF(M6=INDEX(choices!A:A,MATCH(M6,choices!A:A,0)+14), "
",""),IF(M6=INDEX(choices!A:A,MATCH(M6,choices!A:A,0)+15),INDEX(choices!D:D,MATCH(M6,choices!A:A,0)+15),""),IF(M6=INDEX(choices!A:A,MATCH(M6,choices!A:A,0)+15), "
",""),IF(M6=INDEX(choices!A:A,MATCH(M6,choices!A:A,0)+16),INDEX(choices!D:D,MATCH(M6,choices!A:A,0)+16),""),IF(M6=INDEX(choices!A:A,MATCH(M6,choices!A:A,0)+16), "
",""),IF(M6=INDEX(choices!A:A,MATCH(M6,choices!A:A,0)+17),INDEX(choices!D:D,MATCH(M6,choices!A:A,0)+17),""),IF(M6=INDEX(choices!A:A,MATCH(M6,choices!A:A,0)+17), "
",""),IF(M6=INDEX(choices!A:A,MATCH(M6,choices!A:A,0)+18),INDEX(choices!D:D,MATCH(M6,choices!A:A,0)+18),""),IF(M6=INDEX(choices!A:A,MATCH(M6,choices!A:A,0)+18), "
",""),IF(M6=INDEX(choices!A:A,MATCH(M6,choices!A:A,0)+19),INDEX(choices!D:D,MATCH(M6,choices!A:A,0)+19),""),IF(M6=INDEX(choices!A:A,MATCH(M6,choices!A:A,0)+19), "
",""),IF(M6=INDEX(choices!A:A,MATCH(M6,choices!A:A,0)+20),INDEX(choices!D:D,MATCH(M6,choices!A:A,0)+20),""),IF(M6=INDEX(choices!A:A,MATCH(M6,choices!A:A,0)+20), "
",""))</f>
        <v xml:space="preserve">1. Yes
2. No
</v>
      </c>
      <c r="E6" s="449" t="s">
        <v>1591</v>
      </c>
      <c r="F6" s="315"/>
      <c r="G6" s="67" t="str">
        <f>CONCATENATE(INDEX(choices!C:C,MATCH(M6,choices!A:A,0)),"
",IF(M6=INDEX(choices!A:A,MATCH(M6,choices!A:A,0)+1),INDEX(choices!C:C,MATCH(M6,choices!A:A,0)+1),""),IF(M6=INDEX(choices!A:A,MATCH(M6,choices!A:A,0)+1), "
",""),IF(M6=INDEX(choices!A:A,MATCH(M6,choices!A:A,0)+2),INDEX(choices!C:C,MATCH(M6,choices!A:A,0)+2),""),IF(M6=INDEX(choices!A:A,MATCH(M6,choices!A:A,0)+2), "
",""),IF(M6=INDEX(choices!A:A,MATCH(M6,choices!A:A,0)+3),INDEX(choices!C:C,MATCH(M6,choices!A:A,0)+3),""),IF(M6=INDEX(choices!A:A,MATCH(M6,choices!A:A,0)+3), "
",""),IF(M6=INDEX(choices!A:A,MATCH(M6,choices!A:A,0)+4),INDEX(choices!C:C,MATCH(M6,choices!A:A,0)+4),""),IF(M6=INDEX(choices!A:A,MATCH(M6,choices!A:A,0)+4), "
",""),IF(M6=INDEX(choices!A:A,MATCH(M6,choices!A:A,0)+5),INDEX(choices!C:C,MATCH(M6,choices!A:A,0)+5),""),IF(M6=INDEX(choices!A:A,MATCH(M6,choices!A:A,0)+5), "
",""),IF(M6=INDEX(choices!A:A,MATCH(M6,choices!A:A,0)+6),INDEX(choices!C:C,MATCH(M6,choices!A:A,0)+6),""),IF(M6=INDEX(choices!A:A,MATCH(M6,choices!A:A,0)+6), "
",""),IF(M6=INDEX(choices!A:A,MATCH(M6,choices!A:A,0)+7),INDEX(choices!C:C,MATCH(M6,choices!A:A,0)+7),""),IF(M6=INDEX(choices!A:A,MATCH(M6,choices!A:A,0)+7), "
",""),IF(M6=INDEX(choices!A:A,MATCH(M6,choices!A:A,0)+8),INDEX(choices!C:C,MATCH(M6,choices!A:A,0)+8),""),IF(M6=INDEX(choices!A:A,MATCH(M6,choices!A:A,0)+8), "
",""),IF(M6=INDEX(choices!A:A,MATCH(M6,choices!A:A,0)+9),INDEX(choices!C:C,MATCH(M6,choices!A:A,0)+9),""),IF(M6=INDEX(choices!A:A,MATCH(M6,choices!A:A,0)+9), "
",""),IF(M6=INDEX(choices!A:A,MATCH(M6,choices!A:A,0)+10),INDEX(choices!C:C,MATCH(M6,choices!A:A,0)+10),""),IF(M6=INDEX(choices!A:A,MATCH(M6,choices!A:A,0)+10), "
",""),IF(M6=INDEX(choices!A:A,MATCH(M6,choices!A:A,0)+11),INDEX(choices!C:C,MATCH(M6,choices!A:A,0)+11),""),IF(M6=INDEX(choices!A:A,MATCH(M6,choices!A:A,0)+11), "
",""),IF(M6=INDEX(choices!A:A,MATCH(M6,choices!A:A,0)+12),INDEX(choices!C:C,MATCH(M6,choices!A:A,0)+12),""),IF(M6=INDEX(choices!A:A,MATCH(M6,choices!A:A,0)+12), "
",""),IF(M6=INDEX(choices!A:A,MATCH(M6,choices!A:A,0)+13),INDEX(choices!C:C,MATCH(M6,choices!A:A,0)+13),""),IF(M6=INDEX(choices!A:A,MATCH(M6,choices!A:A,0)+13), "
",""),IF(M6=INDEX(choices!A:A,MATCH(M6,choices!A:A,0)+14),INDEX(choices!C:C,MATCH(M6,choices!A:A,0)+14),""),IF(M6=INDEX(choices!A:A,MATCH(M6,choices!A:A,0)+14), "
",""),IF(M6=INDEX(choices!A:A,MATCH(M6,choices!A:A,0)+15),INDEX(choices!C:C,MATCH(M6,choices!A:A,0)+15),""),IF(M6=INDEX(choices!A:A,MATCH(M6,choices!A:A,0)+15), "
",""),IF(M6=INDEX(choices!A:A,MATCH(M6,choices!A:A,0)+16),INDEX(choices!C:C,MATCH(M6,choices!A:A,0)+16),""),IF(M6=INDEX(choices!A:A,MATCH(M6,choices!A:A,0)+16), "
",""),IF(M6=INDEX(choices!A:A,MATCH(M6,choices!A:A,0)+17),INDEX(choices!C:C,MATCH(M6,choices!A:A,0)+17),""),IF(M6=INDEX(choices!A:A,MATCH(M6,choices!A:A,0)+17), "
",""),IF(M6=INDEX(choices!A:A,MATCH(M6,choices!A:A,0)+18),INDEX(choices!C:C,MATCH(M6,choices!A:A,0)+18),""),IF(M6=INDEX(choices!A:A,MATCH(M6,choices!A:A,0)+18), "
",""),IF(M6=INDEX(choices!A:A,MATCH(M6,choices!A:A,0)+19),INDEX(choices!C:C,MATCH(M6,choices!A:A,0)+19),""),IF(M6=INDEX(choices!A:A,MATCH(M6,choices!A:A,0)+19), "
",""),IF(M6=INDEX(choices!A:A,MATCH(M6,choices!A:A,0)+20),INDEX(choices!C:C,MATCH(M6,choices!A:A,0)+20),""),IF(M6=INDEX(choices!A:A,MATCH(M6,choices!A:A,0)+20), "
","")," ")</f>
        <v xml:space="preserve">1. نعم
2. لا
 </v>
      </c>
      <c r="H6" s="225" t="s">
        <v>483</v>
      </c>
      <c r="I6" s="19">
        <v>16201</v>
      </c>
      <c r="J6" s="85"/>
      <c r="L6" s="31" t="s">
        <v>18</v>
      </c>
      <c r="M6" s="31" t="s">
        <v>17</v>
      </c>
      <c r="N6" s="31" t="str">
        <f>CONCATENATE("q",I6)</f>
        <v>q16201</v>
      </c>
      <c r="O6" s="48" t="str">
        <f>CONCATENATE(I6, ". ",E6)</f>
        <v xml:space="preserve">16201. هل تمتلك الأسرة أو أي من أفرادها أي حيوانات أو طيور؟
</v>
      </c>
      <c r="P6" s="31" t="str">
        <f>CONCATENATE(I6, ". ",B6)</f>
        <v>16201. Does any member of your household currently own any livestock (animals)?</v>
      </c>
      <c r="S6" s="117" t="s">
        <v>587</v>
      </c>
    </row>
    <row r="7" spans="1:27">
      <c r="J7" s="9" t="s">
        <v>21</v>
      </c>
    </row>
    <row r="8" spans="1:27" s="54" customFormat="1" ht="75">
      <c r="A8" s="45" t="str">
        <f>CONCATENATE("q",I8,"_[#]")</f>
        <v>q16202_[#]</v>
      </c>
      <c r="B8" s="181" t="s">
        <v>773</v>
      </c>
      <c r="C8" s="181"/>
      <c r="D8" s="175" t="s">
        <v>533</v>
      </c>
      <c r="E8" s="244" t="s">
        <v>1352</v>
      </c>
      <c r="F8" s="244"/>
      <c r="G8" s="54" t="s">
        <v>534</v>
      </c>
      <c r="H8" s="214" t="s">
        <v>612</v>
      </c>
      <c r="I8" s="54">
        <v>16202</v>
      </c>
      <c r="K8" s="31"/>
      <c r="O8" s="312"/>
      <c r="P8" s="117"/>
      <c r="Q8" s="117"/>
      <c r="R8" s="117"/>
      <c r="S8" s="117"/>
      <c r="T8" s="117"/>
      <c r="W8" s="117"/>
      <c r="X8" s="117"/>
    </row>
    <row r="9" spans="1:27" s="54" customFormat="1" ht="90">
      <c r="A9" s="45" t="str">
        <f t="shared" ref="A9" si="0">CONCATENATE("q",I9,"_[#]")</f>
        <v>q16203_[#]</v>
      </c>
      <c r="B9" s="181" t="s">
        <v>774</v>
      </c>
      <c r="C9" s="181"/>
      <c r="D9" s="175"/>
      <c r="E9" s="181" t="s">
        <v>1349</v>
      </c>
      <c r="F9" s="316"/>
      <c r="H9" s="175"/>
      <c r="I9" s="54">
        <f>I8+1</f>
        <v>16203</v>
      </c>
      <c r="M9" s="174"/>
      <c r="N9" s="224"/>
      <c r="O9" s="329"/>
      <c r="P9" s="224"/>
      <c r="Q9" s="117"/>
      <c r="R9" s="117"/>
      <c r="S9" s="117"/>
      <c r="T9" s="117"/>
      <c r="W9" s="117"/>
      <c r="X9" s="117"/>
    </row>
    <row r="10" spans="1:27" s="189" customFormat="1" ht="90">
      <c r="A10" s="45" t="str">
        <f>CONCATENATE("q",I10,"_[#]a")</f>
        <v>q16204_[#]a</v>
      </c>
      <c r="B10" s="116" t="s">
        <v>775</v>
      </c>
      <c r="C10" s="116"/>
      <c r="D10" s="175" t="s">
        <v>533</v>
      </c>
      <c r="E10" s="116" t="s">
        <v>1023</v>
      </c>
      <c r="F10" s="116"/>
      <c r="H10" s="214" t="str">
        <f>CONCATENATE("2. No -----&gt;", I12, "[#]a")</f>
        <v>2. No -----&gt;16206[#]a</v>
      </c>
      <c r="I10" s="54">
        <f>I9+1</f>
        <v>16204</v>
      </c>
      <c r="M10" s="174"/>
      <c r="N10" s="224"/>
      <c r="O10" s="329"/>
      <c r="P10" s="224"/>
      <c r="Q10" s="188"/>
      <c r="R10" s="188"/>
      <c r="S10" s="188"/>
      <c r="T10" s="188"/>
      <c r="W10" s="188"/>
      <c r="X10" s="188"/>
    </row>
    <row r="11" spans="1:27" s="189" customFormat="1" ht="75">
      <c r="A11" s="45" t="str">
        <f>CONCATENATE(,"q",I11,"_[#]a")</f>
        <v>q16205_[#]a</v>
      </c>
      <c r="B11" s="110" t="s">
        <v>776</v>
      </c>
      <c r="C11" s="110"/>
      <c r="D11" s="194"/>
      <c r="E11" s="317" t="s">
        <v>1350</v>
      </c>
      <c r="F11" s="317"/>
      <c r="H11" s="199"/>
      <c r="I11" s="54">
        <f>I10+1</f>
        <v>16205</v>
      </c>
      <c r="M11" s="174"/>
      <c r="N11" s="224"/>
      <c r="O11" s="329"/>
      <c r="P11" s="224"/>
      <c r="Q11" s="188"/>
      <c r="R11" s="188"/>
      <c r="S11" s="188"/>
      <c r="T11" s="188"/>
      <c r="W11" s="188"/>
      <c r="X11" s="188"/>
    </row>
    <row r="12" spans="1:27" s="189" customFormat="1" ht="60">
      <c r="A12" s="45" t="str">
        <f>CONCATENATE("q",I12,"_[#]a")</f>
        <v>q16206_[#]a</v>
      </c>
      <c r="B12" s="116" t="s">
        <v>777</v>
      </c>
      <c r="C12" s="116"/>
      <c r="D12" s="175" t="s">
        <v>533</v>
      </c>
      <c r="E12" s="116" t="s">
        <v>785</v>
      </c>
      <c r="F12" s="116"/>
      <c r="G12" s="54" t="s">
        <v>534</v>
      </c>
      <c r="H12" s="214" t="str">
        <f>CONCATENATE("2. No -----&gt;", I18)</f>
        <v>2. No -----&gt;16207</v>
      </c>
      <c r="I12" s="54">
        <f>I11+1</f>
        <v>16206</v>
      </c>
      <c r="M12" s="174"/>
      <c r="N12" s="224"/>
      <c r="O12" s="329"/>
      <c r="P12" s="224"/>
      <c r="Q12" s="188"/>
      <c r="R12" s="188"/>
      <c r="S12" s="188"/>
      <c r="T12" s="188"/>
      <c r="W12" s="188"/>
      <c r="X12" s="188"/>
    </row>
    <row r="13" spans="1:27" s="189" customFormat="1" ht="90">
      <c r="A13" s="45" t="str">
        <f>CONCATENATE(,"q",I13,"_[#]b")</f>
        <v>q16204_[#]b</v>
      </c>
      <c r="B13" s="110" t="s">
        <v>778</v>
      </c>
      <c r="C13" s="110"/>
      <c r="D13" s="175" t="s">
        <v>533</v>
      </c>
      <c r="E13" s="116" t="s">
        <v>1024</v>
      </c>
      <c r="F13" s="116"/>
      <c r="G13" s="54" t="s">
        <v>534</v>
      </c>
      <c r="H13" s="214" t="str">
        <f>CONCATENATE("2. No -----&gt;", I15, "[#]b")</f>
        <v>2. No -----&gt;16206[#]b</v>
      </c>
      <c r="I13" s="54">
        <f>I10</f>
        <v>16204</v>
      </c>
      <c r="M13" s="174"/>
      <c r="N13" s="224"/>
      <c r="O13" s="329"/>
      <c r="P13" s="224"/>
      <c r="Q13" s="188"/>
      <c r="R13" s="188"/>
      <c r="S13" s="188"/>
      <c r="T13" s="188"/>
      <c r="W13" s="188"/>
      <c r="X13" s="188"/>
    </row>
    <row r="14" spans="1:27" s="189" customFormat="1" ht="75">
      <c r="A14" s="45" t="str">
        <f>CONCATENATE(,"q",I14,"_[#]b")</f>
        <v>q16205_[#]b</v>
      </c>
      <c r="B14" s="110" t="s">
        <v>779</v>
      </c>
      <c r="C14" s="31" t="s">
        <v>1188</v>
      </c>
      <c r="D14" s="194"/>
      <c r="E14" s="110" t="s">
        <v>1025</v>
      </c>
      <c r="F14" s="31" t="s">
        <v>1189</v>
      </c>
      <c r="H14" s="199"/>
      <c r="I14" s="54">
        <f>I13+1</f>
        <v>16205</v>
      </c>
      <c r="M14" s="174"/>
      <c r="N14" s="224"/>
      <c r="O14" s="329"/>
      <c r="P14" s="224"/>
      <c r="Q14" s="188"/>
      <c r="R14" s="188"/>
      <c r="S14" s="188"/>
      <c r="T14" s="188"/>
      <c r="W14" s="188"/>
      <c r="X14" s="188"/>
    </row>
    <row r="15" spans="1:27" s="189" customFormat="1" ht="60">
      <c r="A15" s="45" t="str">
        <f>CONCATENATE("q",I15,"_[#]b")</f>
        <v>q16206_[#]b</v>
      </c>
      <c r="B15" s="116" t="s">
        <v>777</v>
      </c>
      <c r="D15" s="175" t="s">
        <v>533</v>
      </c>
      <c r="E15" s="116" t="s">
        <v>785</v>
      </c>
      <c r="F15" s="116"/>
      <c r="G15" s="54" t="s">
        <v>534</v>
      </c>
      <c r="H15" s="214" t="str">
        <f>CONCATENATE("2. No -----&gt;", I18)</f>
        <v>2. No -----&gt;16207</v>
      </c>
      <c r="I15" s="54">
        <f>I12</f>
        <v>16206</v>
      </c>
      <c r="M15" s="174"/>
      <c r="N15" s="224"/>
      <c r="O15" s="329"/>
      <c r="P15" s="224"/>
      <c r="Q15" s="188"/>
      <c r="R15" s="188"/>
      <c r="S15" s="188"/>
      <c r="T15" s="188"/>
      <c r="W15" s="188"/>
      <c r="X15" s="188"/>
    </row>
    <row r="16" spans="1:27" s="189" customFormat="1" ht="90">
      <c r="A16" s="45" t="str">
        <f>CONCATENATE(,"q",I16,"_[#]c")</f>
        <v>q16204_[#]c</v>
      </c>
      <c r="B16" s="116" t="s">
        <v>780</v>
      </c>
      <c r="D16" s="194"/>
      <c r="E16" s="116" t="s">
        <v>1026</v>
      </c>
      <c r="F16" s="116"/>
      <c r="H16" s="199"/>
      <c r="I16" s="54">
        <f>I13</f>
        <v>16204</v>
      </c>
      <c r="M16" s="174"/>
      <c r="N16" s="224"/>
      <c r="O16" s="329"/>
      <c r="P16" s="224"/>
      <c r="Q16" s="188"/>
      <c r="R16" s="188"/>
      <c r="S16" s="188"/>
      <c r="T16" s="188"/>
      <c r="W16" s="188"/>
      <c r="X16" s="188"/>
    </row>
    <row r="17" spans="1:24" s="189" customFormat="1" ht="75">
      <c r="A17" s="45" t="str">
        <f>CONCATENATE(,"q",I17,"_[#]c")</f>
        <v>q16205_[#]c</v>
      </c>
      <c r="B17" s="110" t="s">
        <v>781</v>
      </c>
      <c r="C17" s="31" t="s">
        <v>1188</v>
      </c>
      <c r="D17" s="175" t="s">
        <v>533</v>
      </c>
      <c r="E17" s="110" t="s">
        <v>1393</v>
      </c>
      <c r="F17" s="31" t="s">
        <v>1189</v>
      </c>
      <c r="G17" s="54" t="s">
        <v>534</v>
      </c>
      <c r="H17" s="199"/>
      <c r="I17" s="54">
        <f>I14</f>
        <v>16205</v>
      </c>
      <c r="M17" s="174"/>
      <c r="N17" s="224"/>
      <c r="O17" s="329"/>
      <c r="P17" s="224"/>
      <c r="Q17" s="188"/>
      <c r="R17" s="188"/>
      <c r="S17" s="188"/>
      <c r="T17" s="188"/>
      <c r="W17" s="188"/>
      <c r="X17" s="188"/>
    </row>
    <row r="18" spans="1:24" s="189" customFormat="1" ht="75">
      <c r="A18" s="45" t="str">
        <f>CONCATENATE("q",I18,"_[#]")</f>
        <v>q16207_[#]</v>
      </c>
      <c r="B18" s="181" t="s">
        <v>948</v>
      </c>
      <c r="C18" s="181"/>
      <c r="D18" s="175" t="s">
        <v>533</v>
      </c>
      <c r="E18" s="181" t="s">
        <v>1348</v>
      </c>
      <c r="F18" s="181"/>
      <c r="G18" s="54" t="s">
        <v>534</v>
      </c>
      <c r="H18" s="199"/>
      <c r="I18" s="54">
        <f>I15+1</f>
        <v>16207</v>
      </c>
      <c r="M18" s="174"/>
      <c r="N18" s="224"/>
      <c r="O18" s="329"/>
      <c r="P18" s="224"/>
      <c r="Q18" s="188"/>
      <c r="R18" s="188"/>
      <c r="S18" s="188"/>
      <c r="T18" s="188"/>
      <c r="W18" s="188"/>
      <c r="X18" s="188"/>
    </row>
    <row r="19" spans="1:24" s="54" customFormat="1" ht="60">
      <c r="A19" s="45" t="str">
        <f>CONCATENATE("q",I19,"_[#]")</f>
        <v>q16208_[#]</v>
      </c>
      <c r="B19" s="181" t="s">
        <v>782</v>
      </c>
      <c r="C19" s="181"/>
      <c r="D19" s="175" t="s">
        <v>533</v>
      </c>
      <c r="E19" s="181" t="s">
        <v>1404</v>
      </c>
      <c r="F19" s="316"/>
      <c r="G19" s="54" t="s">
        <v>534</v>
      </c>
      <c r="H19" s="214" t="s">
        <v>612</v>
      </c>
      <c r="I19" s="54">
        <f>I18+1</f>
        <v>16208</v>
      </c>
      <c r="O19" s="312"/>
      <c r="P19" s="117"/>
      <c r="Q19" s="117"/>
      <c r="R19" s="117"/>
      <c r="S19" s="117"/>
      <c r="T19" s="117"/>
      <c r="W19" s="117"/>
      <c r="X19" s="117"/>
    </row>
    <row r="20" spans="1:24" s="54" customFormat="1" ht="45">
      <c r="A20" s="45" t="str">
        <f>CONCATENATE("q",I20,"_[#]")</f>
        <v>q16209_[#]</v>
      </c>
      <c r="B20" s="181" t="s">
        <v>783</v>
      </c>
      <c r="C20" s="195" t="s">
        <v>1195</v>
      </c>
      <c r="E20" s="316" t="s">
        <v>1351</v>
      </c>
      <c r="F20" s="117" t="s">
        <v>1194</v>
      </c>
      <c r="H20" s="57"/>
      <c r="I20" s="54">
        <f>I19+1</f>
        <v>16209</v>
      </c>
      <c r="O20" s="312"/>
      <c r="P20" s="117"/>
      <c r="Q20" s="117"/>
      <c r="R20" s="117"/>
      <c r="S20" s="117"/>
      <c r="T20" s="117"/>
      <c r="W20" s="117"/>
      <c r="X20" s="117"/>
    </row>
    <row r="21" spans="1:24" s="54" customFormat="1" ht="75">
      <c r="A21" s="45" t="str">
        <f>CONCATENATE("q",I21,"_[#]")</f>
        <v>q16210_[#]</v>
      </c>
      <c r="B21" s="181" t="s">
        <v>784</v>
      </c>
      <c r="C21" s="195" t="s">
        <v>1196</v>
      </c>
      <c r="E21" s="244" t="s">
        <v>1394</v>
      </c>
      <c r="F21" s="117" t="s">
        <v>1193</v>
      </c>
      <c r="I21" s="54">
        <f>I20+1</f>
        <v>16210</v>
      </c>
      <c r="O21" s="312"/>
      <c r="P21" s="117"/>
      <c r="Q21" s="117"/>
      <c r="R21" s="117"/>
      <c r="S21" s="117"/>
      <c r="T21" s="117"/>
      <c r="W21" s="117"/>
      <c r="X21" s="117"/>
    </row>
    <row r="22" spans="1:24" s="54" customFormat="1">
      <c r="A22" s="45"/>
      <c r="B22" s="181"/>
      <c r="C22" s="181"/>
      <c r="D22" s="196"/>
      <c r="E22" s="175"/>
      <c r="F22" s="175"/>
      <c r="O22" s="312"/>
      <c r="P22" s="117"/>
      <c r="Q22" s="117"/>
      <c r="R22" s="117"/>
      <c r="S22" s="117"/>
      <c r="T22" s="117"/>
      <c r="W22" s="117"/>
      <c r="X22" s="117"/>
    </row>
    <row r="23" spans="1:24" s="45" customFormat="1">
      <c r="A23" s="54"/>
      <c r="D23" s="175"/>
      <c r="E23" s="117"/>
      <c r="F23" s="117"/>
      <c r="H23" s="54"/>
      <c r="I23" s="54"/>
      <c r="L23" s="54"/>
      <c r="O23" s="312"/>
      <c r="P23" s="117"/>
      <c r="Q23" s="117"/>
      <c r="R23" s="117"/>
      <c r="S23" s="117"/>
      <c r="T23" s="117"/>
      <c r="W23" s="117"/>
      <c r="X23" s="117"/>
    </row>
    <row r="24" spans="1:24" s="45" customFormat="1">
      <c r="A24" s="63">
        <f t="shared" ref="A24:A32" si="1">I24</f>
        <v>1</v>
      </c>
      <c r="B24" s="31" t="s">
        <v>484</v>
      </c>
      <c r="C24" s="31"/>
      <c r="D24" s="63"/>
      <c r="E24" s="234" t="s">
        <v>1027</v>
      </c>
      <c r="F24" s="234"/>
      <c r="G24" s="187"/>
      <c r="H24" s="187"/>
      <c r="I24" s="16">
        <v>1</v>
      </c>
      <c r="L24" s="54"/>
      <c r="O24" s="312"/>
      <c r="P24" s="117"/>
      <c r="Q24" s="117"/>
      <c r="R24" s="117"/>
      <c r="S24" s="117"/>
      <c r="T24" s="117"/>
      <c r="W24" s="117"/>
      <c r="X24" s="117"/>
    </row>
    <row r="25" spans="1:24" s="45" customFormat="1">
      <c r="A25" s="63">
        <f t="shared" si="1"/>
        <v>2</v>
      </c>
      <c r="B25" s="31" t="s">
        <v>485</v>
      </c>
      <c r="C25" s="31"/>
      <c r="D25" s="63"/>
      <c r="E25" s="234" t="s">
        <v>1592</v>
      </c>
      <c r="F25" s="234"/>
      <c r="G25" s="187"/>
      <c r="H25" s="187"/>
      <c r="I25" s="16">
        <f t="shared" ref="I25:I32" si="2">I24+1</f>
        <v>2</v>
      </c>
      <c r="L25" s="54"/>
      <c r="O25" s="312"/>
      <c r="P25" s="117"/>
      <c r="Q25" s="117"/>
      <c r="R25" s="117"/>
      <c r="S25" s="117"/>
      <c r="T25" s="117"/>
      <c r="W25" s="117"/>
      <c r="X25" s="117"/>
    </row>
    <row r="26" spans="1:24" s="45" customFormat="1">
      <c r="A26" s="63">
        <f t="shared" si="1"/>
        <v>3</v>
      </c>
      <c r="B26" s="31" t="s">
        <v>486</v>
      </c>
      <c r="C26" s="31"/>
      <c r="D26" s="63"/>
      <c r="E26" s="234" t="s">
        <v>1028</v>
      </c>
      <c r="F26" s="234"/>
      <c r="G26" s="187"/>
      <c r="H26" s="187"/>
      <c r="I26" s="16">
        <f t="shared" si="2"/>
        <v>3</v>
      </c>
      <c r="L26" s="54"/>
      <c r="O26" s="312"/>
      <c r="P26" s="117"/>
      <c r="Q26" s="117"/>
      <c r="R26" s="117"/>
      <c r="S26" s="117"/>
      <c r="T26" s="117"/>
      <c r="W26" s="117"/>
      <c r="X26" s="117"/>
    </row>
    <row r="27" spans="1:24" s="45" customFormat="1">
      <c r="A27" s="63">
        <f t="shared" si="1"/>
        <v>4</v>
      </c>
      <c r="B27" s="31" t="s">
        <v>487</v>
      </c>
      <c r="C27" s="31"/>
      <c r="D27" s="63"/>
      <c r="E27" s="234" t="s">
        <v>1029</v>
      </c>
      <c r="F27" s="234"/>
      <c r="G27" s="187"/>
      <c r="H27" s="187"/>
      <c r="I27" s="16">
        <f t="shared" si="2"/>
        <v>4</v>
      </c>
      <c r="L27" s="54"/>
      <c r="O27" s="312"/>
      <c r="P27" s="117"/>
      <c r="Q27" s="117"/>
      <c r="R27" s="117"/>
      <c r="S27" s="117"/>
      <c r="T27" s="117"/>
      <c r="W27" s="117"/>
      <c r="X27" s="117"/>
    </row>
    <row r="28" spans="1:24" s="45" customFormat="1">
      <c r="A28" s="63">
        <f t="shared" si="1"/>
        <v>5</v>
      </c>
      <c r="B28" s="31" t="s">
        <v>488</v>
      </c>
      <c r="C28" s="31"/>
      <c r="D28" s="63"/>
      <c r="E28" s="234" t="s">
        <v>1030</v>
      </c>
      <c r="F28" s="234"/>
      <c r="G28" s="187"/>
      <c r="H28" s="187"/>
      <c r="I28" s="16">
        <f t="shared" si="2"/>
        <v>5</v>
      </c>
      <c r="L28" s="54"/>
      <c r="O28" s="312"/>
      <c r="P28" s="117"/>
      <c r="Q28" s="117"/>
      <c r="R28" s="117"/>
      <c r="S28" s="117"/>
      <c r="T28" s="117"/>
      <c r="W28" s="117"/>
      <c r="X28" s="117"/>
    </row>
    <row r="29" spans="1:24" s="45" customFormat="1">
      <c r="A29" s="63">
        <f t="shared" si="1"/>
        <v>6</v>
      </c>
      <c r="B29" s="31" t="s">
        <v>489</v>
      </c>
      <c r="C29" s="31"/>
      <c r="D29" s="63"/>
      <c r="E29" s="234" t="s">
        <v>1031</v>
      </c>
      <c r="F29" s="234"/>
      <c r="G29" s="187"/>
      <c r="H29" s="187"/>
      <c r="I29" s="16">
        <f t="shared" si="2"/>
        <v>6</v>
      </c>
      <c r="L29" s="54"/>
      <c r="O29" s="312"/>
      <c r="P29" s="117"/>
      <c r="Q29" s="117"/>
      <c r="R29" s="117"/>
      <c r="S29" s="117"/>
      <c r="T29" s="117"/>
      <c r="W29" s="117"/>
      <c r="X29" s="117"/>
    </row>
    <row r="30" spans="1:24" s="45" customFormat="1">
      <c r="A30" s="63">
        <f t="shared" si="1"/>
        <v>7</v>
      </c>
      <c r="B30" s="31" t="s">
        <v>490</v>
      </c>
      <c r="C30" s="31"/>
      <c r="D30" s="63"/>
      <c r="E30" s="234" t="s">
        <v>1032</v>
      </c>
      <c r="F30" s="234"/>
      <c r="G30" s="187"/>
      <c r="H30" s="187"/>
      <c r="I30" s="16">
        <f t="shared" si="2"/>
        <v>7</v>
      </c>
      <c r="L30" s="54"/>
      <c r="O30" s="312"/>
      <c r="P30" s="117"/>
      <c r="Q30" s="117"/>
      <c r="R30" s="117"/>
      <c r="S30" s="117"/>
      <c r="T30" s="117"/>
      <c r="W30" s="117"/>
      <c r="X30" s="117"/>
    </row>
    <row r="31" spans="1:24" s="45" customFormat="1">
      <c r="A31" s="63">
        <f t="shared" si="1"/>
        <v>8</v>
      </c>
      <c r="B31" s="31" t="s">
        <v>491</v>
      </c>
      <c r="C31" s="31"/>
      <c r="D31" s="63"/>
      <c r="E31" s="76" t="s">
        <v>761</v>
      </c>
      <c r="F31" s="76"/>
      <c r="G31" s="187"/>
      <c r="H31" s="187"/>
      <c r="I31" s="16">
        <f t="shared" si="2"/>
        <v>8</v>
      </c>
      <c r="L31" s="54"/>
      <c r="O31" s="312"/>
      <c r="P31" s="117"/>
      <c r="Q31" s="117"/>
      <c r="R31" s="117"/>
      <c r="S31" s="117"/>
      <c r="T31" s="117"/>
      <c r="W31" s="117"/>
      <c r="X31" s="117"/>
    </row>
    <row r="32" spans="1:24" s="45" customFormat="1">
      <c r="A32" s="63">
        <f t="shared" si="1"/>
        <v>9</v>
      </c>
      <c r="B32" s="31" t="s">
        <v>492</v>
      </c>
      <c r="C32" s="31"/>
      <c r="D32" s="63"/>
      <c r="E32" s="235" t="s">
        <v>1557</v>
      </c>
      <c r="F32" s="235"/>
      <c r="G32" s="187"/>
      <c r="H32" s="187"/>
      <c r="I32" s="16">
        <f t="shared" si="2"/>
        <v>9</v>
      </c>
      <c r="L32" s="54"/>
      <c r="O32" s="312"/>
      <c r="P32" s="117"/>
      <c r="Q32" s="117"/>
      <c r="R32" s="117"/>
      <c r="S32" s="117"/>
      <c r="T32" s="117"/>
      <c r="W32" s="117"/>
      <c r="X32" s="117"/>
    </row>
    <row r="33" spans="1:25" s="31" customFormat="1">
      <c r="G33" s="67"/>
      <c r="H33" s="225"/>
      <c r="I33" s="19"/>
      <c r="J33" s="44"/>
      <c r="O33" s="48"/>
      <c r="S33" s="117"/>
    </row>
    <row r="34" spans="1:25" s="31" customFormat="1">
      <c r="I34" s="19"/>
      <c r="J34" s="88" t="s">
        <v>23</v>
      </c>
      <c r="K34" s="64" t="str">
        <f>CONCATENATE("selected(data('",$N$6,"'),'1')")</f>
        <v>selected(data('q16201'),'1')</v>
      </c>
      <c r="O34" s="48"/>
    </row>
    <row r="35" spans="1:25" s="45" customFormat="1" ht="60">
      <c r="B35" s="117"/>
      <c r="C35" s="117"/>
      <c r="D35" s="117"/>
      <c r="E35" s="117"/>
      <c r="F35" s="117"/>
      <c r="G35" s="118"/>
      <c r="I35" s="54"/>
      <c r="L35" s="54" t="s">
        <v>18</v>
      </c>
      <c r="M35" s="45" t="s">
        <v>17</v>
      </c>
      <c r="N35" s="45" t="str">
        <f>CONCATENATE("q",$I$8, "_",$I$24)</f>
        <v>q16202_1</v>
      </c>
      <c r="O35" s="312" t="str">
        <f>CONCATENATE(SUBSTITUTE(N35, "q",""), ". ", SUBSTITUTE($E$8, "]الحيوانات[",$E$24))</f>
        <v>16202_1. هل تمتلك الأسرة أو أي من أفرادها أي الأبقار؟</v>
      </c>
      <c r="P35" s="190" t="str">
        <f>CONCATENATE(N35, ". ", SUBSTITUTE($B$8, "[animal]",$B$24))</f>
        <v>q16202_1. Does any member of your household currently have any  Cows?</v>
      </c>
      <c r="Q35" s="117"/>
      <c r="R35" s="117"/>
      <c r="S35" s="117" t="str">
        <f>CONCATENATE($K34, " &amp;&amp; ", $S$6)</f>
        <v>selected(data('q16201'),'1') &amp;&amp; data('valid_overall') == 1</v>
      </c>
      <c r="T35" s="117"/>
      <c r="W35" s="117"/>
      <c r="X35" s="117"/>
      <c r="Y35" s="45" t="b">
        <v>1</v>
      </c>
    </row>
    <row r="36" spans="1:25" s="45" customFormat="1">
      <c r="B36" s="117"/>
      <c r="C36" s="117"/>
      <c r="D36" s="117"/>
      <c r="E36" s="117"/>
      <c r="F36" s="117"/>
      <c r="G36" s="118"/>
      <c r="I36" s="54"/>
      <c r="J36" s="178" t="s">
        <v>24</v>
      </c>
      <c r="L36" s="54"/>
      <c r="O36" s="312"/>
      <c r="P36" s="190"/>
      <c r="Q36" s="117"/>
      <c r="R36" s="117"/>
      <c r="S36" s="117"/>
      <c r="T36" s="117"/>
      <c r="W36" s="117"/>
      <c r="X36" s="117"/>
    </row>
    <row r="37" spans="1:25" s="45" customFormat="1">
      <c r="I37" s="15"/>
      <c r="J37" s="178" t="s">
        <v>23</v>
      </c>
      <c r="K37" s="45" t="str">
        <f>CONCATENATE("selected(data('",N35,"'),'1') &amp;&amp; ", K34)</f>
        <v>selected(data('q16202_1'),'1') &amp;&amp; selected(data('q16201'),'1')</v>
      </c>
      <c r="L37" s="54"/>
      <c r="O37" s="312"/>
      <c r="P37" s="117"/>
      <c r="Q37" s="117"/>
      <c r="R37" s="117"/>
      <c r="S37" s="117"/>
      <c r="T37" s="117"/>
    </row>
    <row r="38" spans="1:25" s="45" customFormat="1" ht="60">
      <c r="B38" s="117"/>
      <c r="C38" s="117"/>
      <c r="D38" s="54"/>
      <c r="E38" s="117"/>
      <c r="F38" s="117"/>
      <c r="G38" s="54"/>
      <c r="H38" s="191"/>
      <c r="I38" s="54"/>
      <c r="J38" s="178"/>
      <c r="L38" s="54" t="s">
        <v>19</v>
      </c>
      <c r="N38" s="45" t="str">
        <f>CONCATENATE("q",$I$9, "_",$I$24)</f>
        <v>q16203_1</v>
      </c>
      <c r="O38" s="312" t="str">
        <f>CONCATENATE(SUBSTITUTE(N38, "q",""), ". ", SUBSTITUTE($E$9, "]الحيوانات[",$E$24))</f>
        <v>16203_1. كم عدد الأبقار التي تملكها الأسرة خلص أو مشاركة؟</v>
      </c>
      <c r="P38" s="117" t="str">
        <f>CONCATENATE(N38, ". ", SUBSTITUTE($B$9, "[animal]",$B$24))</f>
        <v>q16203_1. How many   Cows does your household currently own entirely or with sharing?</v>
      </c>
      <c r="Q38" s="117"/>
      <c r="R38" s="117"/>
      <c r="S38" s="31" t="str">
        <f>CONCATENATE($K37, " &amp;&amp; ", $S$6)</f>
        <v>selected(data('q16202_1'),'1') &amp;&amp; selected(data('q16201'),'1') &amp;&amp; data('valid_overall') == 1</v>
      </c>
      <c r="T38" s="117"/>
      <c r="Y38" s="45" t="b">
        <v>1</v>
      </c>
    </row>
    <row r="39" spans="1:25" s="45" customFormat="1" ht="60">
      <c r="B39" s="117"/>
      <c r="C39" s="117"/>
      <c r="D39" s="117"/>
      <c r="E39" s="117"/>
      <c r="F39" s="117"/>
      <c r="G39" s="54"/>
      <c r="H39" s="191"/>
      <c r="I39" s="54"/>
      <c r="J39" s="159"/>
      <c r="K39" s="19"/>
      <c r="L39" s="54" t="s">
        <v>18</v>
      </c>
      <c r="M39" s="19" t="s">
        <v>17</v>
      </c>
      <c r="N39" s="54" t="str">
        <f>CONCATENATE("q",$I$10, "_",$I$24,"a")</f>
        <v>q16204_1a</v>
      </c>
      <c r="O39" s="312" t="str">
        <f>CONCATENATE(SUBSTITUTE(N39, "q",""), ". ", SUBSTITUTE($E$10, "]الحيوانات[",$E$24))</f>
        <v>16204_1a. هل الشخص الرئيسي الذي يرعى الأبقار هو أحد أفراد الأسرة؟</v>
      </c>
      <c r="P39" s="117" t="str">
        <f>CONCATENATE(N39, ". ", SUBSTITUTE($B$10, "[animal]",$B$24))</f>
        <v>q16204_1a. Is the primary person who takes care of the  Cows a member of the household?</v>
      </c>
      <c r="Q39" s="117"/>
      <c r="R39" s="117"/>
      <c r="S39" s="31" t="str">
        <f>CONCATENATE($K37, " &amp;&amp; ", $S$6)</f>
        <v>selected(data('q16202_1'),'1') &amp;&amp; selected(data('q16201'),'1') &amp;&amp; data('valid_overall') == 1</v>
      </c>
      <c r="T39" s="117"/>
      <c r="Y39" s="45" t="b">
        <v>1</v>
      </c>
    </row>
    <row r="40" spans="1:25" s="45" customFormat="1">
      <c r="B40" s="117"/>
      <c r="C40" s="117"/>
      <c r="D40" s="117"/>
      <c r="E40" s="117"/>
      <c r="F40" s="117"/>
      <c r="G40" s="54"/>
      <c r="H40" s="191"/>
      <c r="I40" s="54"/>
      <c r="J40" s="88" t="s">
        <v>24</v>
      </c>
      <c r="K40" s="19"/>
      <c r="L40" s="54"/>
      <c r="M40" s="19"/>
      <c r="N40" s="54"/>
      <c r="O40" s="312"/>
      <c r="P40" s="117"/>
      <c r="Q40" s="117"/>
      <c r="R40" s="117"/>
      <c r="S40" s="31"/>
      <c r="T40" s="117"/>
    </row>
    <row r="41" spans="1:25" s="45" customFormat="1">
      <c r="B41" s="117"/>
      <c r="C41" s="117"/>
      <c r="D41" s="117"/>
      <c r="E41" s="117"/>
      <c r="F41" s="117"/>
      <c r="G41" s="54"/>
      <c r="H41" s="191"/>
      <c r="I41" s="54"/>
      <c r="J41" s="178" t="s">
        <v>23</v>
      </c>
      <c r="K41" s="44" t="str">
        <f>CONCATENATE("selected(data('",N39,"'),'1') &amp;&amp; ", K37)</f>
        <v>selected(data('q16204_1a'),'1') &amp;&amp; selected(data('q16202_1'),'1') &amp;&amp; selected(data('q16201'),'1')</v>
      </c>
      <c r="L41" s="54"/>
      <c r="M41" s="19"/>
      <c r="N41" s="54"/>
      <c r="O41" s="312"/>
      <c r="P41" s="117"/>
      <c r="Q41" s="117"/>
      <c r="R41" s="117"/>
      <c r="S41" s="117"/>
      <c r="T41" s="117"/>
    </row>
    <row r="42" spans="1:25" s="45" customFormat="1" ht="60">
      <c r="A42" s="117"/>
      <c r="B42" s="54"/>
      <c r="C42" s="54"/>
      <c r="D42" s="117"/>
      <c r="E42" s="54"/>
      <c r="F42" s="54"/>
      <c r="G42" s="191"/>
      <c r="I42" s="54"/>
      <c r="J42" s="159"/>
      <c r="K42" s="19"/>
      <c r="L42" s="19" t="s">
        <v>174</v>
      </c>
      <c r="M42" s="19" t="s">
        <v>206</v>
      </c>
      <c r="N42" s="54" t="str">
        <f>CONCATENATE("q",$I$11, "_",$I$24,"a")</f>
        <v>q16205_1a</v>
      </c>
      <c r="O42" s="312" t="str">
        <f>CONCATENATE(SUBSTITUTE(N42, "q",""),, ". ", SUBSTITUTE($E$11, "]الحيوانات[",$E$24))</f>
        <v>16205_1a. من الشخص المسؤول عن رعاية الأبقار في الأسرة؟ أول فرد</v>
      </c>
      <c r="P42" s="117" t="str">
        <f>CONCATENATE(N42, ". ", SUBSTITUTE($B$11, "[animal]",$B$24))</f>
        <v>q16205_1a. Who is the primary person who takes care of the  Cows? First member</v>
      </c>
      <c r="Q42" s="117"/>
      <c r="R42" s="117"/>
      <c r="S42" s="31" t="str">
        <f>CONCATENATE($K41, " &amp;&amp; ", $S$6)</f>
        <v>selected(data('q16204_1a'),'1') &amp;&amp; selected(data('q16202_1'),'1') &amp;&amp; selected(data('q16201'),'1') &amp;&amp; data('valid_overall') == 1</v>
      </c>
      <c r="T42" s="117"/>
      <c r="Y42" s="45" t="b">
        <v>1</v>
      </c>
    </row>
    <row r="43" spans="1:25" s="45" customFormat="1">
      <c r="A43" s="117"/>
      <c r="B43" s="54"/>
      <c r="C43" s="54"/>
      <c r="D43" s="117"/>
      <c r="E43" s="54"/>
      <c r="F43" s="54"/>
      <c r="G43" s="191"/>
      <c r="I43" s="54"/>
      <c r="J43" s="178" t="s">
        <v>24</v>
      </c>
      <c r="K43" s="19"/>
      <c r="L43" s="19"/>
      <c r="M43" s="19"/>
      <c r="N43" s="54"/>
      <c r="O43" s="312"/>
      <c r="P43" s="117"/>
      <c r="Q43" s="117"/>
      <c r="R43" s="117"/>
      <c r="S43" s="31"/>
      <c r="T43" s="117"/>
    </row>
    <row r="44" spans="1:25" s="45" customFormat="1">
      <c r="A44" s="117"/>
      <c r="B44" s="175"/>
      <c r="C44" s="175"/>
      <c r="D44" s="117"/>
      <c r="I44" s="54"/>
      <c r="J44" s="178" t="s">
        <v>23</v>
      </c>
      <c r="K44" s="54" t="str">
        <f>K37</f>
        <v>selected(data('q16202_1'),'1') &amp;&amp; selected(data('q16201'),'1')</v>
      </c>
      <c r="L44" s="174"/>
      <c r="M44" s="174"/>
      <c r="N44" s="174"/>
      <c r="O44" s="312"/>
      <c r="P44" s="117"/>
      <c r="Q44" s="117"/>
      <c r="R44" s="117"/>
      <c r="S44" s="117"/>
      <c r="T44" s="117"/>
      <c r="W44" s="117"/>
      <c r="X44" s="117"/>
    </row>
    <row r="45" spans="1:25" s="45" customFormat="1">
      <c r="A45" s="117"/>
      <c r="B45" s="175"/>
      <c r="C45" s="175"/>
      <c r="D45" s="117"/>
      <c r="I45" s="54"/>
      <c r="J45" s="44" t="s">
        <v>20</v>
      </c>
      <c r="K45" s="54"/>
      <c r="L45" s="174"/>
      <c r="M45" s="174"/>
      <c r="N45" s="174"/>
      <c r="O45" s="312"/>
      <c r="P45" s="117"/>
      <c r="Q45" s="117"/>
      <c r="R45" s="117"/>
      <c r="S45" s="117"/>
      <c r="T45" s="117"/>
      <c r="W45" s="117"/>
      <c r="X45" s="117"/>
    </row>
    <row r="46" spans="1:25" s="45" customFormat="1">
      <c r="A46" s="117"/>
      <c r="B46" s="175"/>
      <c r="C46" s="175"/>
      <c r="D46" s="117"/>
      <c r="I46" s="54"/>
      <c r="J46" s="176" t="s">
        <v>23</v>
      </c>
      <c r="K46" s="54" t="str">
        <f>K41</f>
        <v>selected(data('q16204_1a'),'1') &amp;&amp; selected(data('q16202_1'),'1') &amp;&amp; selected(data('q16201'),'1')</v>
      </c>
      <c r="L46" s="174"/>
      <c r="M46" s="174"/>
      <c r="N46" s="174"/>
      <c r="O46" s="312"/>
      <c r="P46" s="117"/>
      <c r="Q46" s="117"/>
      <c r="R46" s="117"/>
      <c r="S46" s="117"/>
      <c r="T46" s="117"/>
      <c r="W46" s="117"/>
      <c r="X46" s="117"/>
    </row>
    <row r="47" spans="1:25" s="45" customFormat="1">
      <c r="A47" s="117"/>
      <c r="B47" s="175"/>
      <c r="C47" s="175"/>
      <c r="D47" s="117"/>
      <c r="I47" s="54"/>
      <c r="K47" s="54"/>
      <c r="L47" s="174" t="s">
        <v>413</v>
      </c>
      <c r="M47" s="174" t="str">
        <f>CONCATENATE(M42,"_line_",N42)</f>
        <v>roster_line_q16205_1a</v>
      </c>
      <c r="N47" s="174" t="str">
        <f>CONCATENATE(N42,"_1")</f>
        <v>q16205_1a_1</v>
      </c>
      <c r="O47" s="312"/>
      <c r="P47" s="117"/>
      <c r="Q47" s="117"/>
      <c r="R47" s="117"/>
      <c r="S47" s="117" t="str">
        <f>S42</f>
        <v>selected(data('q16204_1a'),'1') &amp;&amp; selected(data('q16202_1'),'1') &amp;&amp; selected(data('q16201'),'1') &amp;&amp; data('valid_overall') == 1</v>
      </c>
      <c r="T47" s="117"/>
      <c r="W47" s="117"/>
      <c r="X47" s="117"/>
      <c r="Y47" s="45" t="b">
        <v>1</v>
      </c>
    </row>
    <row r="48" spans="1:25" s="45" customFormat="1">
      <c r="A48" s="117"/>
      <c r="B48" s="175"/>
      <c r="C48" s="175"/>
      <c r="D48" s="117"/>
      <c r="I48" s="54"/>
      <c r="J48" s="176" t="s">
        <v>24</v>
      </c>
      <c r="K48" s="54"/>
      <c r="L48" s="174"/>
      <c r="M48" s="174"/>
      <c r="N48" s="174"/>
      <c r="O48" s="312"/>
      <c r="P48" s="117"/>
      <c r="Q48" s="117"/>
      <c r="R48" s="117"/>
      <c r="S48" s="117"/>
      <c r="T48" s="117"/>
      <c r="W48" s="117"/>
      <c r="X48" s="117"/>
    </row>
    <row r="49" spans="1:25" s="45" customFormat="1" ht="45">
      <c r="A49" s="117"/>
      <c r="B49" s="175"/>
      <c r="C49" s="175"/>
      <c r="D49" s="117"/>
      <c r="I49" s="54"/>
      <c r="K49" s="54"/>
      <c r="L49" s="174" t="s">
        <v>18</v>
      </c>
      <c r="M49" s="19" t="s">
        <v>17</v>
      </c>
      <c r="N49" s="54" t="str">
        <f>CONCATENATE("q",$I$12, "_",$I$24,"a")</f>
        <v>q16206_1a</v>
      </c>
      <c r="O49" s="312" t="str">
        <f>CONCATENATE(SUBSTITUTE(N49, "q",""),, ". ", SUBSTITUTE($E$12, "]الحيوانات[",$E$24))</f>
        <v>16206_1a. هل هناك شخص آخر يرعى الأبقار؟</v>
      </c>
      <c r="P49" s="117" t="str">
        <f>CONCATENATE(N49, ". ", SUBSTITUTE($B$12, "[animal]",$B$24))</f>
        <v>q16206_1a. Is there another person who takes care of the  Cows?</v>
      </c>
      <c r="Q49" s="117"/>
      <c r="R49" s="117"/>
      <c r="S49" s="31" t="str">
        <f>CONCATENATE($K44, " &amp;&amp; ", $S$6)</f>
        <v>selected(data('q16202_1'),'1') &amp;&amp; selected(data('q16201'),'1') &amp;&amp; data('valid_overall') == 1</v>
      </c>
      <c r="T49" s="117"/>
      <c r="W49" s="117"/>
      <c r="X49" s="117"/>
      <c r="Y49" s="45" t="b">
        <v>1</v>
      </c>
    </row>
    <row r="50" spans="1:25" s="45" customFormat="1">
      <c r="A50" s="117"/>
      <c r="B50" s="175"/>
      <c r="C50" s="175"/>
      <c r="D50" s="117"/>
      <c r="I50" s="54"/>
      <c r="J50" s="45" t="s">
        <v>21</v>
      </c>
      <c r="K50" s="54"/>
      <c r="L50" s="174"/>
      <c r="M50" s="19"/>
      <c r="N50" s="54"/>
      <c r="O50" s="312"/>
      <c r="P50" s="117"/>
      <c r="Q50" s="117"/>
      <c r="R50" s="117"/>
      <c r="S50" s="31"/>
      <c r="T50" s="117"/>
      <c r="W50" s="117"/>
      <c r="X50" s="117"/>
    </row>
    <row r="51" spans="1:25" s="45" customFormat="1">
      <c r="A51" s="117"/>
      <c r="B51" s="175"/>
      <c r="C51" s="175"/>
      <c r="D51" s="117"/>
      <c r="I51" s="54"/>
      <c r="J51" s="178" t="s">
        <v>24</v>
      </c>
      <c r="K51" s="54"/>
      <c r="L51" s="174"/>
      <c r="M51" s="19"/>
      <c r="N51" s="54"/>
      <c r="O51" s="312"/>
      <c r="P51" s="117"/>
      <c r="Q51" s="117"/>
      <c r="R51" s="117"/>
      <c r="S51" s="31"/>
      <c r="T51" s="117"/>
      <c r="W51" s="117"/>
      <c r="X51" s="117"/>
    </row>
    <row r="52" spans="1:25" s="45" customFormat="1">
      <c r="A52" s="117"/>
      <c r="B52" s="175"/>
      <c r="C52" s="175"/>
      <c r="D52" s="117"/>
      <c r="I52" s="54"/>
      <c r="J52" s="178" t="s">
        <v>23</v>
      </c>
      <c r="K52" s="44" t="str">
        <f>CONCATENATE("selected(data('",N49,"'),'1') &amp;&amp; ",K44)</f>
        <v>selected(data('q16206_1a'),'1') &amp;&amp; selected(data('q16202_1'),'1') &amp;&amp; selected(data('q16201'),'1')</v>
      </c>
      <c r="L52" s="174"/>
      <c r="M52" s="174"/>
      <c r="N52" s="54"/>
      <c r="O52" s="312"/>
      <c r="P52" s="117"/>
      <c r="Q52" s="117"/>
      <c r="R52" s="117"/>
      <c r="S52" s="117"/>
      <c r="T52" s="117"/>
      <c r="W52" s="117"/>
      <c r="X52" s="117"/>
    </row>
    <row r="53" spans="1:25" s="45" customFormat="1">
      <c r="A53" s="117"/>
      <c r="B53" s="175"/>
      <c r="C53" s="175"/>
      <c r="D53" s="117"/>
      <c r="I53" s="54"/>
      <c r="J53" s="44" t="s">
        <v>20</v>
      </c>
      <c r="K53" s="44"/>
      <c r="L53" s="174"/>
      <c r="M53" s="174"/>
      <c r="N53" s="54"/>
      <c r="O53" s="312"/>
      <c r="P53" s="117"/>
      <c r="Q53" s="117"/>
      <c r="R53" s="117"/>
      <c r="S53" s="117"/>
      <c r="T53" s="117"/>
      <c r="W53" s="117"/>
      <c r="X53" s="117"/>
    </row>
    <row r="54" spans="1:25" s="45" customFormat="1" ht="60">
      <c r="A54" s="117"/>
      <c r="B54" s="175"/>
      <c r="C54" s="175"/>
      <c r="D54" s="117"/>
      <c r="I54" s="54"/>
      <c r="K54" s="54"/>
      <c r="L54" s="174" t="s">
        <v>18</v>
      </c>
      <c r="M54" s="19" t="s">
        <v>17</v>
      </c>
      <c r="N54" s="54" t="str">
        <f>CONCATENATE("q",$I$13, "_",$I$24,"b")</f>
        <v>q16204_1b</v>
      </c>
      <c r="O54" s="312" t="str">
        <f>CONCATENATE(SUBSTITUTE(N54, "q",""),, ". ", SUBSTITUTE($E$13, "]الحيوانات[",$E$24))</f>
        <v>16204_1b. هل الشخص الثاني الذي يرعى الأبقار هو أحد أفراد الأسرة؟</v>
      </c>
      <c r="P54" s="117" t="str">
        <f>CONCATENATE(N54, ". ", SUBSTITUTE($B$13, "[animal]",$B$24))</f>
        <v>q16204_1b. Is the second person who takes care of the  Cows a member of the household?</v>
      </c>
      <c r="Q54" s="117"/>
      <c r="R54" s="117"/>
      <c r="S54" s="31" t="str">
        <f>CONCATENATE($K52, " &amp;&amp; ", $S$6)</f>
        <v>selected(data('q16206_1a'),'1') &amp;&amp; selected(data('q16202_1'),'1') &amp;&amp; selected(data('q16201'),'1') &amp;&amp; data('valid_overall') == 1</v>
      </c>
      <c r="T54" s="117"/>
      <c r="W54" s="117"/>
      <c r="X54" s="117"/>
      <c r="Y54" s="45" t="b">
        <v>1</v>
      </c>
    </row>
    <row r="55" spans="1:25" s="45" customFormat="1">
      <c r="A55" s="117"/>
      <c r="B55" s="175"/>
      <c r="C55" s="175"/>
      <c r="D55" s="117"/>
      <c r="I55" s="54"/>
      <c r="J55" s="45" t="s">
        <v>21</v>
      </c>
      <c r="K55" s="54"/>
      <c r="L55" s="174"/>
      <c r="M55" s="19"/>
      <c r="N55" s="54"/>
      <c r="O55" s="312"/>
      <c r="P55" s="117"/>
      <c r="Q55" s="117"/>
      <c r="R55" s="117"/>
      <c r="S55" s="31"/>
      <c r="T55" s="117"/>
      <c r="W55" s="117"/>
      <c r="X55" s="117"/>
    </row>
    <row r="56" spans="1:25" s="45" customFormat="1">
      <c r="A56" s="117"/>
      <c r="B56" s="175"/>
      <c r="C56" s="175"/>
      <c r="D56" s="117"/>
      <c r="I56" s="54"/>
      <c r="J56" s="178" t="s">
        <v>24</v>
      </c>
      <c r="K56" s="54"/>
      <c r="L56" s="174"/>
      <c r="M56" s="19"/>
      <c r="N56" s="54"/>
      <c r="O56" s="312"/>
      <c r="P56" s="117"/>
      <c r="Q56" s="117"/>
      <c r="R56" s="117"/>
      <c r="S56" s="31"/>
      <c r="T56" s="117"/>
      <c r="W56" s="117"/>
      <c r="X56" s="117"/>
    </row>
    <row r="57" spans="1:25" s="45" customFormat="1">
      <c r="A57" s="117"/>
      <c r="B57" s="175"/>
      <c r="C57" s="175"/>
      <c r="D57" s="117"/>
      <c r="I57" s="54"/>
      <c r="J57" s="178" t="s">
        <v>23</v>
      </c>
      <c r="K57" s="44" t="str">
        <f>CONCATENATE("selected(data('",N54,"'),'1') &amp;&amp;", K52)</f>
        <v>selected(data('q16204_1b'),'1') &amp;&amp;selected(data('q16206_1a'),'1') &amp;&amp; selected(data('q16202_1'),'1') &amp;&amp; selected(data('q16201'),'1')</v>
      </c>
      <c r="L57" s="174"/>
      <c r="M57" s="174"/>
      <c r="N57" s="54"/>
      <c r="O57" s="312"/>
      <c r="P57" s="117"/>
      <c r="Q57" s="117"/>
      <c r="R57" s="117"/>
      <c r="S57" s="117"/>
      <c r="T57" s="117"/>
      <c r="W57" s="117"/>
      <c r="X57" s="117"/>
    </row>
    <row r="58" spans="1:25" s="45" customFormat="1" ht="75">
      <c r="A58" s="117"/>
      <c r="B58" s="54"/>
      <c r="C58" s="54"/>
      <c r="D58" s="117"/>
      <c r="E58" s="54"/>
      <c r="F58" s="54"/>
      <c r="G58" s="191"/>
      <c r="I58" s="54"/>
      <c r="J58" s="159"/>
      <c r="K58" s="19"/>
      <c r="L58" s="19" t="s">
        <v>174</v>
      </c>
      <c r="M58" s="19" t="s">
        <v>206</v>
      </c>
      <c r="N58" s="54" t="str">
        <f>CONCATENATE("q",$I$14, "_",$I$24,"b")</f>
        <v>q16205_1b</v>
      </c>
      <c r="O58" s="312" t="str">
        <f>CONCATENATE(SUBSTITUTE(N58, "q",""), ". ", SUBSTITUTE($E$14, "]الحيوانات[",$E$24))</f>
        <v xml:space="preserve">16205_1b. من الشخص المسؤول عن رعاية الأبقار في الأسرة؟ الفرد الثاني </v>
      </c>
      <c r="P58" s="117" t="str">
        <f>CONCATENATE(N58, ". ", SUBSTITUTE($B$14, "[animal]",$B$24))</f>
        <v>q16205_1b. Who is the person who takes care of the  Cows? Second member</v>
      </c>
      <c r="Q58" s="117"/>
      <c r="R58" s="117"/>
      <c r="S58" s="31" t="str">
        <f>CONCATENATE($K57, " &amp;&amp; ", $S$6)</f>
        <v>selected(data('q16204_1b'),'1') &amp;&amp;selected(data('q16206_1a'),'1') &amp;&amp; selected(data('q16202_1'),'1') &amp;&amp; selected(data('q16201'),'1') &amp;&amp; data('valid_overall') == 1</v>
      </c>
      <c r="T58" s="117"/>
      <c r="Y58" s="45" t="b">
        <v>1</v>
      </c>
    </row>
    <row r="59" spans="1:25" s="45" customFormat="1">
      <c r="A59" s="117"/>
      <c r="B59" s="54"/>
      <c r="C59" s="54"/>
      <c r="D59" s="117"/>
      <c r="E59" s="54"/>
      <c r="F59" s="54"/>
      <c r="G59" s="191"/>
      <c r="I59" s="54"/>
      <c r="J59" s="88" t="s">
        <v>24</v>
      </c>
      <c r="K59" s="19"/>
      <c r="L59" s="19"/>
      <c r="M59" s="19"/>
      <c r="N59" s="54"/>
      <c r="O59" s="312"/>
      <c r="P59" s="117"/>
      <c r="Q59" s="117"/>
      <c r="R59" s="117"/>
      <c r="S59" s="31"/>
      <c r="T59" s="117"/>
      <c r="V59" s="31"/>
      <c r="W59" s="31"/>
      <c r="X59" s="31"/>
    </row>
    <row r="60" spans="1:25" s="45" customFormat="1">
      <c r="A60" s="117"/>
      <c r="B60" s="175"/>
      <c r="C60" s="175"/>
      <c r="D60" s="117"/>
      <c r="I60" s="54"/>
      <c r="J60" s="178" t="s">
        <v>23</v>
      </c>
      <c r="K60" s="54" t="str">
        <f>K52</f>
        <v>selected(data('q16206_1a'),'1') &amp;&amp; selected(data('q16202_1'),'1') &amp;&amp; selected(data('q16201'),'1')</v>
      </c>
      <c r="L60" s="174"/>
      <c r="M60" s="174"/>
      <c r="N60" s="174"/>
      <c r="O60" s="312"/>
      <c r="P60" s="117"/>
      <c r="Q60" s="117"/>
      <c r="R60" s="117"/>
      <c r="S60" s="117"/>
      <c r="T60" s="117"/>
      <c r="W60" s="117"/>
      <c r="X60" s="117"/>
    </row>
    <row r="61" spans="1:25" s="45" customFormat="1">
      <c r="A61" s="117"/>
      <c r="B61" s="175"/>
      <c r="C61" s="175"/>
      <c r="D61" s="117"/>
      <c r="I61" s="54"/>
      <c r="J61" s="44" t="s">
        <v>20</v>
      </c>
      <c r="K61" s="54"/>
      <c r="L61" s="174"/>
      <c r="M61" s="174"/>
      <c r="N61" s="174"/>
      <c r="O61" s="312"/>
      <c r="P61" s="117"/>
      <c r="Q61" s="117"/>
      <c r="R61" s="117"/>
      <c r="S61" s="117"/>
      <c r="T61" s="117"/>
      <c r="W61" s="117"/>
      <c r="X61" s="117"/>
    </row>
    <row r="62" spans="1:25" s="45" customFormat="1">
      <c r="A62" s="117"/>
      <c r="B62" s="175"/>
      <c r="C62" s="175"/>
      <c r="D62" s="117"/>
      <c r="I62" s="54"/>
      <c r="J62" s="176" t="s">
        <v>23</v>
      </c>
      <c r="K62" s="54" t="str">
        <f>K57</f>
        <v>selected(data('q16204_1b'),'1') &amp;&amp;selected(data('q16206_1a'),'1') &amp;&amp; selected(data('q16202_1'),'1') &amp;&amp; selected(data('q16201'),'1')</v>
      </c>
      <c r="L62" s="174"/>
      <c r="M62" s="174"/>
      <c r="N62" s="174"/>
      <c r="O62" s="312"/>
      <c r="P62" s="117"/>
      <c r="Q62" s="117"/>
      <c r="R62" s="117"/>
      <c r="S62" s="117"/>
      <c r="T62" s="117"/>
      <c r="W62" s="117"/>
      <c r="X62" s="117"/>
    </row>
    <row r="63" spans="1:25" s="45" customFormat="1" ht="105">
      <c r="A63" s="117"/>
      <c r="B63" s="175"/>
      <c r="C63" s="175"/>
      <c r="D63" s="117"/>
      <c r="I63" s="54"/>
      <c r="J63" s="44"/>
      <c r="K63" s="54"/>
      <c r="L63" s="174" t="s">
        <v>413</v>
      </c>
      <c r="M63" s="174" t="str">
        <f>CONCATENATE(M58,"_line_",N58)</f>
        <v>roster_line_q16205_1b</v>
      </c>
      <c r="N63" s="174" t="str">
        <f>CONCATENATE(N58,"_1")</f>
        <v>q16205_1b_1</v>
      </c>
      <c r="O63" s="312"/>
      <c r="P63" s="117"/>
      <c r="Q63" s="117"/>
      <c r="R63" s="117"/>
      <c r="S63" s="117" t="str">
        <f>S58</f>
        <v>selected(data('q16204_1b'),'1') &amp;&amp;selected(data('q16206_1a'),'1') &amp;&amp; selected(data('q16202_1'),'1') &amp;&amp; selected(data('q16201'),'1') &amp;&amp; data('valid_overall') == 1</v>
      </c>
      <c r="T63" s="117"/>
      <c r="V63" s="31" t="str">
        <f>CONCATENATE("(data('",N47,"') != data('",N63,"')) || selected(data('",N49,"'), '2')   || selected(data('",N39,"'), '2')  || selected(data('",N54,"'), '2')  || selected(data('",N35,"'), '2') || selected(data('",$N$6,"'),'2') || data('valid_overall') == 0")</f>
        <v>(data('q16205_1a_1') != data('q16205_1b_1')) || selected(data('q16206_1a'), '2')   || selected(data('q16204_1a'), '2')  || selected(data('q16204_1b'), '2')  || selected(data('q16202_1'), '2') || selected(data('q16201'),'2') || data('valid_overall') == 0</v>
      </c>
      <c r="W63" s="31" t="s">
        <v>1033</v>
      </c>
      <c r="X63" s="31" t="s">
        <v>555</v>
      </c>
      <c r="Y63" s="45" t="b">
        <v>1</v>
      </c>
    </row>
    <row r="64" spans="1:25" s="45" customFormat="1">
      <c r="A64" s="117"/>
      <c r="B64" s="175"/>
      <c r="C64" s="175"/>
      <c r="D64" s="117"/>
      <c r="I64" s="54"/>
      <c r="J64" s="176" t="s">
        <v>24</v>
      </c>
      <c r="K64" s="54"/>
      <c r="L64" s="174"/>
      <c r="M64" s="174"/>
      <c r="N64" s="174"/>
      <c r="O64" s="312"/>
      <c r="P64" s="117"/>
      <c r="Q64" s="117"/>
      <c r="R64" s="117"/>
      <c r="S64" s="117"/>
      <c r="T64" s="117"/>
      <c r="W64" s="117"/>
      <c r="X64" s="117"/>
    </row>
    <row r="65" spans="1:25" s="45" customFormat="1" ht="60">
      <c r="A65" s="117"/>
      <c r="B65" s="175"/>
      <c r="C65" s="175"/>
      <c r="D65" s="117"/>
      <c r="I65" s="54"/>
      <c r="K65" s="54"/>
      <c r="L65" s="174" t="s">
        <v>18</v>
      </c>
      <c r="M65" s="19" t="s">
        <v>17</v>
      </c>
      <c r="N65" s="54" t="str">
        <f>CONCATENATE("q",$I$15, "_",$I$24,"b")</f>
        <v>q16206_1b</v>
      </c>
      <c r="O65" s="312" t="str">
        <f>CONCATENATE(SUBSTITUTE(N65, "q",""),, ". ", SUBSTITUTE($E$15, "]الحيوانات[",$E$24))</f>
        <v>16206_1b. هل هناك شخص آخر يرعى الأبقار؟</v>
      </c>
      <c r="P65" s="117" t="str">
        <f>CONCATENATE(N65, ". ", SUBSTITUTE($B$15, "[animal]",$B$24))</f>
        <v>q16206_1b. Is there another person who takes care of the  Cows?</v>
      </c>
      <c r="Q65" s="117"/>
      <c r="R65" s="117"/>
      <c r="S65" s="31" t="str">
        <f>CONCATENATE($K60, " &amp;&amp; ", $S$6)</f>
        <v>selected(data('q16206_1a'),'1') &amp;&amp; selected(data('q16202_1'),'1') &amp;&amp; selected(data('q16201'),'1') &amp;&amp; data('valid_overall') == 1</v>
      </c>
      <c r="T65" s="117"/>
      <c r="W65" s="117"/>
      <c r="X65" s="117"/>
      <c r="Y65" s="45" t="b">
        <v>1</v>
      </c>
    </row>
    <row r="66" spans="1:25" s="45" customFormat="1">
      <c r="A66" s="117"/>
      <c r="B66" s="175"/>
      <c r="C66" s="175"/>
      <c r="D66" s="117"/>
      <c r="I66" s="54"/>
      <c r="J66" s="45" t="s">
        <v>21</v>
      </c>
      <c r="K66" s="54"/>
      <c r="L66" s="174"/>
      <c r="M66" s="19"/>
      <c r="N66" s="54"/>
      <c r="O66" s="312"/>
      <c r="P66" s="117"/>
      <c r="Q66" s="117"/>
      <c r="R66" s="117"/>
      <c r="S66" s="31"/>
      <c r="T66" s="117"/>
      <c r="W66" s="117"/>
      <c r="X66" s="117"/>
    </row>
    <row r="67" spans="1:25" s="45" customFormat="1">
      <c r="A67" s="117"/>
      <c r="B67" s="175"/>
      <c r="C67" s="175"/>
      <c r="D67" s="117"/>
      <c r="I67" s="54"/>
      <c r="J67" s="178" t="s">
        <v>24</v>
      </c>
      <c r="K67" s="54"/>
      <c r="L67" s="174"/>
      <c r="M67" s="19"/>
      <c r="N67" s="54"/>
      <c r="O67" s="312" t="s">
        <v>471</v>
      </c>
      <c r="P67" s="117"/>
      <c r="Q67" s="117"/>
      <c r="R67" s="117"/>
      <c r="S67" s="31"/>
      <c r="T67" s="117"/>
      <c r="W67" s="117"/>
      <c r="X67" s="117"/>
    </row>
    <row r="68" spans="1:25" s="45" customFormat="1">
      <c r="A68" s="117"/>
      <c r="B68" s="175"/>
      <c r="C68" s="175"/>
      <c r="D68" s="117"/>
      <c r="I68" s="54"/>
      <c r="J68" s="178" t="s">
        <v>23</v>
      </c>
      <c r="K68" s="44" t="str">
        <f>CONCATENATE("selected(data('",N65,"'),'1') &amp;&amp; ", K60)</f>
        <v>selected(data('q16206_1b'),'1') &amp;&amp; selected(data('q16206_1a'),'1') &amp;&amp; selected(data('q16202_1'),'1') &amp;&amp; selected(data('q16201'),'1')</v>
      </c>
      <c r="L68" s="174"/>
      <c r="M68" s="174"/>
      <c r="N68" s="54"/>
      <c r="O68" s="312"/>
      <c r="P68" s="117"/>
      <c r="Q68" s="117"/>
      <c r="R68" s="117"/>
      <c r="S68" s="117"/>
      <c r="T68" s="117"/>
      <c r="W68" s="117"/>
      <c r="X68" s="117"/>
    </row>
    <row r="69" spans="1:25" s="45" customFormat="1" ht="75">
      <c r="A69" s="117"/>
      <c r="B69" s="175"/>
      <c r="C69" s="175"/>
      <c r="D69" s="117"/>
      <c r="I69" s="54"/>
      <c r="K69" s="54"/>
      <c r="L69" s="174" t="s">
        <v>18</v>
      </c>
      <c r="M69" s="19" t="s">
        <v>17</v>
      </c>
      <c r="N69" s="54" t="str">
        <f>CONCATENATE("q",$I$16, "_",$I$24,"c")</f>
        <v>q16204_1c</v>
      </c>
      <c r="O69" s="312" t="str">
        <f>CONCATENATE(SUBSTITUTE(N69, "q",""),, ". ", SUBSTITUTE($E$16, "]الحيوانات[",$E$24))</f>
        <v>16204_1c. هل الشخص الثالث الذي يرعى الأبقار هو أحد أفراد الأسرة؟</v>
      </c>
      <c r="P69" s="117" t="str">
        <f>CONCATENATE(N69, ". ", SUBSTITUTE($B$16, "[animal]",$B$24))</f>
        <v>q16204_1c. Is the third person who takes care of the  Cows a member of the household?</v>
      </c>
      <c r="Q69" s="117"/>
      <c r="R69" s="117"/>
      <c r="S69" s="31" t="str">
        <f>CONCATENATE($K68, " &amp;&amp; ", $S$6)</f>
        <v>selected(data('q16206_1b'),'1') &amp;&amp; selected(data('q16206_1a'),'1') &amp;&amp; selected(data('q16202_1'),'1') &amp;&amp; selected(data('q16201'),'1') &amp;&amp; data('valid_overall') == 1</v>
      </c>
      <c r="T69" s="117"/>
      <c r="W69" s="117"/>
      <c r="X69" s="117"/>
      <c r="Y69" s="45" t="b">
        <v>1</v>
      </c>
    </row>
    <row r="70" spans="1:25" s="45" customFormat="1">
      <c r="A70" s="117"/>
      <c r="B70" s="175"/>
      <c r="C70" s="175"/>
      <c r="D70" s="117"/>
      <c r="I70" s="54"/>
      <c r="J70" s="178" t="s">
        <v>24</v>
      </c>
      <c r="K70" s="54"/>
      <c r="L70" s="174"/>
      <c r="M70" s="19"/>
      <c r="N70" s="54"/>
      <c r="O70" s="312"/>
      <c r="P70" s="117"/>
      <c r="Q70" s="117"/>
      <c r="R70" s="117"/>
      <c r="S70" s="31"/>
      <c r="T70" s="117"/>
      <c r="W70" s="117"/>
      <c r="X70" s="117"/>
    </row>
    <row r="71" spans="1:25" s="45" customFormat="1">
      <c r="A71" s="117"/>
      <c r="B71" s="175"/>
      <c r="C71" s="175"/>
      <c r="D71" s="117"/>
      <c r="I71" s="54"/>
      <c r="J71" s="178" t="s">
        <v>23</v>
      </c>
      <c r="K71" s="44" t="str">
        <f>CONCATENATE("selected(data('",N69,"'),'1') &amp;&amp; ", K68)</f>
        <v>selected(data('q16204_1c'),'1') &amp;&amp; selected(data('q16206_1b'),'1') &amp;&amp; selected(data('q16206_1a'),'1') &amp;&amp; selected(data('q16202_1'),'1') &amp;&amp; selected(data('q16201'),'1')</v>
      </c>
      <c r="L71" s="174"/>
      <c r="M71" s="174"/>
      <c r="N71" s="54"/>
      <c r="O71" s="312"/>
      <c r="P71" s="117"/>
      <c r="Q71" s="117"/>
      <c r="R71" s="117"/>
      <c r="S71" s="117"/>
      <c r="T71" s="117"/>
      <c r="W71" s="117"/>
      <c r="X71" s="117"/>
    </row>
    <row r="72" spans="1:25" s="45" customFormat="1" ht="90">
      <c r="A72" s="117"/>
      <c r="B72" s="54"/>
      <c r="C72" s="54"/>
      <c r="D72" s="117"/>
      <c r="E72" s="54"/>
      <c r="F72" s="54"/>
      <c r="G72" s="191"/>
      <c r="I72" s="54"/>
      <c r="J72" s="197"/>
      <c r="K72" s="19"/>
      <c r="L72" s="19" t="s">
        <v>174</v>
      </c>
      <c r="M72" s="19" t="s">
        <v>206</v>
      </c>
      <c r="N72" s="54" t="str">
        <f>CONCATENATE("q",$I$17, "_",$I$24,"c")</f>
        <v>q16205_1c</v>
      </c>
      <c r="O72" s="312" t="str">
        <f>CONCATENATE(N72, ". ", SUBSTITUTE($E$16, "]الحيوانات[",$E$24))</f>
        <v>q16205_1c. هل الشخص الثالث الذي يرعى الأبقار هو أحد أفراد الأسرة؟</v>
      </c>
      <c r="P72" s="117" t="str">
        <f>CONCATENATE(N72, ". ", SUBSTITUTE($B$17, "[animal]",$B$24))</f>
        <v>q16205_1c. Who is the person who takes care of the  Cows? Third member</v>
      </c>
      <c r="Q72" s="117"/>
      <c r="R72" s="117"/>
      <c r="S72" s="31" t="str">
        <f>CONCATENATE($K71, " &amp;&amp; ",$S$6)</f>
        <v>selected(data('q16204_1c'),'1') &amp;&amp; selected(data('q16206_1b'),'1') &amp;&amp; selected(data('q16206_1a'),'1') &amp;&amp; selected(data('q16202_1'),'1') &amp;&amp; selected(data('q16201'),'1') &amp;&amp; data('valid_overall') == 1</v>
      </c>
      <c r="T72" s="117"/>
      <c r="Y72" s="45" t="b">
        <v>1</v>
      </c>
    </row>
    <row r="74" spans="1:25" s="45" customFormat="1">
      <c r="A74" s="117"/>
      <c r="B74" s="54"/>
      <c r="C74" s="54"/>
      <c r="D74" s="117"/>
      <c r="E74" s="54"/>
      <c r="F74" s="54"/>
      <c r="G74" s="191"/>
      <c r="I74" s="54"/>
      <c r="J74" s="88" t="s">
        <v>42</v>
      </c>
      <c r="K74" s="64"/>
      <c r="L74" s="19"/>
      <c r="M74" s="64"/>
      <c r="N74" s="64"/>
      <c r="O74" s="48"/>
      <c r="P74" s="31"/>
      <c r="Q74" s="117"/>
      <c r="R74" s="117"/>
      <c r="S74" s="117"/>
      <c r="T74" s="117"/>
    </row>
    <row r="75" spans="1:25" s="45" customFormat="1">
      <c r="A75" s="117"/>
      <c r="B75" s="54"/>
      <c r="C75" s="54"/>
      <c r="D75" s="117"/>
      <c r="E75" s="54"/>
      <c r="F75" s="54"/>
      <c r="G75" s="191"/>
      <c r="I75" s="54"/>
      <c r="J75" s="88" t="s">
        <v>23</v>
      </c>
      <c r="K75" s="64" t="str">
        <f>K37</f>
        <v>selected(data('q16202_1'),'1') &amp;&amp; selected(data('q16201'),'1')</v>
      </c>
      <c r="L75" s="19"/>
      <c r="M75" s="64"/>
      <c r="N75" s="64"/>
      <c r="O75" s="48"/>
      <c r="P75" s="31"/>
      <c r="Q75" s="117"/>
      <c r="R75" s="117"/>
      <c r="S75" s="117"/>
      <c r="T75" s="117"/>
    </row>
    <row r="76" spans="1:25" s="45" customFormat="1">
      <c r="A76" s="117"/>
      <c r="B76" s="54"/>
      <c r="C76" s="54"/>
      <c r="D76" s="117"/>
      <c r="E76" s="54"/>
      <c r="F76" s="54"/>
      <c r="G76" s="191"/>
      <c r="I76" s="54"/>
      <c r="J76" s="405" t="s">
        <v>20</v>
      </c>
      <c r="K76" s="64"/>
      <c r="L76" s="19"/>
      <c r="M76" s="64"/>
      <c r="N76" s="64"/>
      <c r="O76" s="407"/>
      <c r="P76" s="31"/>
      <c r="Q76" s="117"/>
      <c r="R76" s="117"/>
      <c r="S76" s="117"/>
      <c r="T76" s="117"/>
    </row>
    <row r="77" spans="1:25" s="45" customFormat="1">
      <c r="A77" s="117"/>
      <c r="B77" s="54"/>
      <c r="C77" s="54"/>
      <c r="D77" s="117"/>
      <c r="E77" s="54"/>
      <c r="F77" s="54"/>
      <c r="G77" s="191"/>
      <c r="I77" s="54"/>
      <c r="J77" s="66" t="s">
        <v>23</v>
      </c>
      <c r="K77" s="64" t="str">
        <f>K71</f>
        <v>selected(data('q16204_1c'),'1') &amp;&amp; selected(data('q16206_1b'),'1') &amp;&amp; selected(data('q16206_1a'),'1') &amp;&amp; selected(data('q16202_1'),'1') &amp;&amp; selected(data('q16201'),'1')</v>
      </c>
      <c r="L77" s="19"/>
      <c r="M77" s="64"/>
      <c r="N77" s="64"/>
      <c r="O77" s="407"/>
      <c r="P77" s="31"/>
      <c r="Q77" s="117"/>
      <c r="R77" s="117"/>
      <c r="S77" s="117"/>
      <c r="T77" s="117"/>
    </row>
    <row r="78" spans="1:25" s="45" customFormat="1" ht="255">
      <c r="A78" s="117"/>
      <c r="B78" s="175"/>
      <c r="C78" s="175"/>
      <c r="D78" s="117"/>
      <c r="I78" s="54"/>
      <c r="J78" s="176"/>
      <c r="K78" s="54"/>
      <c r="L78" s="174" t="s">
        <v>413</v>
      </c>
      <c r="M78" s="174" t="str">
        <f>CONCATENATE(M72,"_line_",N72)</f>
        <v>roster_line_q16205_1c</v>
      </c>
      <c r="N78" s="174" t="str">
        <f>CONCATENATE(N72,"_1")</f>
        <v>q16205_1c_1</v>
      </c>
      <c r="O78" s="312"/>
      <c r="P78" s="117"/>
      <c r="Q78" s="117"/>
      <c r="R78" s="117"/>
      <c r="S78" s="117" t="str">
        <f>S72</f>
        <v>selected(data('q16204_1c'),'1') &amp;&amp; selected(data('q16206_1b'),'1') &amp;&amp; selected(data('q16206_1a'),'1') &amp;&amp; selected(data('q16202_1'),'1') &amp;&amp; selected(data('q16201'),'1') &amp;&amp; data('valid_overall') == 1</v>
      </c>
      <c r="T78" s="117"/>
      <c r="V78" s="31" t="str">
        <f>CONCATENATE(" (((data('",N47,"') != data('",N63,"')) || selected(data('",N49,"'), '2')   || selected(data('",N39,"'), '2')  || selected(data('",N54,"'), '2')) &amp;&amp; ((data('",N63,"') != data('",N78,"'))  || selected(data('",N49,"'), '2') || selected(data('",N65,"'), '2')   || selected(data('",N54,"'), '2')  || selected(data('",N69,"'), '2'))   &amp;&amp; ((data('",N47,"') != data('",N78,"'))  || selected(data('",N49,"'), '2')|| selected(data('",N69,"'), '2')   || selected(data('",N39,"'), '2')  || selected(data('",N69,"'), '2'))  )  || selected(data('",N35,"'), '2') || selected(data('",$N$6,"'),'2') || data('valid_overall') == 0")</f>
        <v xml:space="preserve"> (((data('q16205_1a_1') != data('q16205_1b_1')) || selected(data('q16206_1a'), '2')   || selected(data('q16204_1a'), '2')  || selected(data('q16204_1b'), '2')) &amp;&amp; ((data('q16205_1b_1') != data('q16205_1c_1'))  || selected(data('q16206_1a'), '2') || selected(data('q16206_1b'), '2')   || selected(data('q16204_1b'), '2')  || selected(data('q16204_1c'), '2'))   &amp;&amp; ((data('q16205_1a_1') != data('q16205_1c_1'))  || selected(data('q16206_1a'), '2')|| selected(data('q16204_1c'), '2')   || selected(data('q16204_1a'), '2')  || selected(data('q16204_1c'), '2'))  )  || selected(data('q16202_1'), '2') || selected(data('q16201'),'2') || data('valid_overall') == 0</v>
      </c>
      <c r="W78" s="31" t="s">
        <v>1033</v>
      </c>
      <c r="X78" s="31" t="s">
        <v>555</v>
      </c>
      <c r="Y78" s="45" t="b">
        <v>1</v>
      </c>
    </row>
    <row r="79" spans="1:25" s="45" customFormat="1">
      <c r="A79" s="117"/>
      <c r="B79" s="54"/>
      <c r="C79" s="54"/>
      <c r="D79" s="117"/>
      <c r="E79" s="54"/>
      <c r="F79" s="54"/>
      <c r="G79" s="191"/>
      <c r="I79" s="54"/>
      <c r="J79" s="66" t="s">
        <v>24</v>
      </c>
      <c r="K79" s="64"/>
      <c r="L79" s="19"/>
      <c r="M79" s="64"/>
      <c r="N79" s="64"/>
      <c r="O79" s="407"/>
      <c r="P79" s="31"/>
      <c r="Q79" s="117"/>
      <c r="R79" s="117"/>
      <c r="S79" s="117"/>
      <c r="T79" s="117"/>
    </row>
    <row r="80" spans="1:25" s="45" customFormat="1" ht="60">
      <c r="A80" s="117"/>
      <c r="B80" s="117"/>
      <c r="C80" s="117"/>
      <c r="D80" s="117"/>
      <c r="E80" s="118"/>
      <c r="F80" s="118"/>
      <c r="G80" s="191"/>
      <c r="I80" s="54"/>
      <c r="J80" s="192"/>
      <c r="L80" s="54" t="s">
        <v>18</v>
      </c>
      <c r="M80" s="45" t="s">
        <v>17</v>
      </c>
      <c r="N80" s="45" t="str">
        <f>CONCATENATE("q",$I$18, "_",$I$24)</f>
        <v>q16207_1</v>
      </c>
      <c r="O80" s="312" t="str">
        <f>CONCATENATE(N80, ". ", SUBSTITUTE($E$18, "]الحيوانات[",$E$24))</f>
        <v>q16207_1. خلال الـ12 شهر الماضية، هل قمت استهلكت أي من الأبقار؟</v>
      </c>
      <c r="P80" s="117" t="str">
        <f>CONCATENATE(N80, ". ", SUBSTITUTE($B$18, "[animal]",$B$24))</f>
        <v>q16207_1. During the past 12 months have you consumed any of the  Cows?</v>
      </c>
      <c r="Q80" s="117"/>
      <c r="R80" s="117"/>
      <c r="S80" s="31" t="str">
        <f>CONCATENATE($K37, " &amp;&amp; ", $S$6)</f>
        <v>selected(data('q16202_1'),'1') &amp;&amp; selected(data('q16201'),'1') &amp;&amp; data('valid_overall') == 1</v>
      </c>
      <c r="T80" s="117"/>
      <c r="Y80" s="45" t="b">
        <v>1</v>
      </c>
    </row>
    <row r="81" spans="1:25" s="45" customFormat="1">
      <c r="A81" s="117"/>
      <c r="B81" s="117"/>
      <c r="C81" s="117"/>
      <c r="D81" s="117"/>
      <c r="E81" s="118"/>
      <c r="F81" s="118"/>
      <c r="G81" s="191"/>
      <c r="I81" s="54"/>
      <c r="J81" s="44" t="s">
        <v>21</v>
      </c>
      <c r="L81" s="54"/>
      <c r="O81" s="312"/>
      <c r="P81" s="117"/>
      <c r="Q81" s="117"/>
      <c r="R81" s="117"/>
      <c r="S81" s="31"/>
      <c r="T81" s="117"/>
    </row>
    <row r="82" spans="1:25" s="45" customFormat="1" ht="45">
      <c r="A82" s="117"/>
      <c r="B82" s="117"/>
      <c r="C82" s="117"/>
      <c r="D82" s="117"/>
      <c r="E82" s="118"/>
      <c r="F82" s="118"/>
      <c r="G82" s="191"/>
      <c r="I82" s="54"/>
      <c r="J82" s="192"/>
      <c r="L82" s="54" t="s">
        <v>18</v>
      </c>
      <c r="M82" s="45" t="s">
        <v>17</v>
      </c>
      <c r="N82" s="45" t="str">
        <f>CONCATENATE("q",$I$19, "_",$I$24)</f>
        <v>q16208_1</v>
      </c>
      <c r="O82" s="312" t="str">
        <f>CONCATENATE(N82, ". ", SUBSTITUTE($E$19, "]الحيوانات[",$E$24))</f>
        <v>q16208_1. خلال الـ12 شهر الماضية، هل قمت ببيع أي من الأبقار؟</v>
      </c>
      <c r="P82" s="117" t="str">
        <f>CONCATENATE(N82, ". ", SUBSTITUTE($B$19, "[animal]",$B$24))</f>
        <v>q16208_1. During the past 12 months have you sold any of the  Cows?</v>
      </c>
      <c r="Q82" s="117"/>
      <c r="R82" s="117"/>
      <c r="S82" s="31" t="str">
        <f>CONCATENATE($K37, " &amp;&amp; ", $S$6)</f>
        <v>selected(data('q16202_1'),'1') &amp;&amp; selected(data('q16201'),'1') &amp;&amp; data('valid_overall') == 1</v>
      </c>
      <c r="T82" s="117"/>
      <c r="Y82" s="45" t="b">
        <v>1</v>
      </c>
    </row>
    <row r="83" spans="1:25" s="45" customFormat="1">
      <c r="A83" s="117"/>
      <c r="B83" s="117"/>
      <c r="C83" s="117"/>
      <c r="D83" s="117"/>
      <c r="E83" s="118"/>
      <c r="F83" s="118"/>
      <c r="G83" s="191"/>
      <c r="I83" s="54"/>
      <c r="J83" s="178" t="s">
        <v>24</v>
      </c>
      <c r="L83" s="54"/>
      <c r="O83" s="312"/>
      <c r="P83" s="117"/>
      <c r="Q83" s="117"/>
      <c r="R83" s="117"/>
      <c r="S83" s="31"/>
      <c r="T83" s="117"/>
    </row>
    <row r="84" spans="1:25" s="45" customFormat="1">
      <c r="B84" s="117"/>
      <c r="C84" s="117"/>
      <c r="D84" s="54"/>
      <c r="E84" s="117"/>
      <c r="F84" s="117"/>
      <c r="G84" s="54"/>
      <c r="H84" s="191"/>
      <c r="I84" s="54"/>
      <c r="J84" s="178" t="s">
        <v>23</v>
      </c>
      <c r="K84" s="45" t="str">
        <f>CONCATENATE("selected(data('",N82,"'),'1') &amp;&amp; ",K75)</f>
        <v>selected(data('q16208_1'),'1') &amp;&amp; selected(data('q16202_1'),'1') &amp;&amp; selected(data('q16201'),'1')</v>
      </c>
      <c r="L84" s="54"/>
      <c r="O84" s="312"/>
      <c r="P84" s="117"/>
      <c r="Q84" s="117"/>
      <c r="R84" s="117"/>
      <c r="S84" s="117"/>
      <c r="T84" s="117"/>
    </row>
    <row r="85" spans="1:25" s="45" customFormat="1" ht="60">
      <c r="B85" s="117"/>
      <c r="C85" s="117"/>
      <c r="D85" s="54"/>
      <c r="E85" s="117"/>
      <c r="F85" s="117"/>
      <c r="G85" s="54"/>
      <c r="H85" s="191"/>
      <c r="I85" s="54"/>
      <c r="J85" s="193"/>
      <c r="L85" s="54" t="s">
        <v>19</v>
      </c>
      <c r="N85" s="45" t="str">
        <f>CONCATENATE("q",$I$20, "_",$I$24)</f>
        <v>q16209_1</v>
      </c>
      <c r="O85" s="312" t="str">
        <f>CONCATENATE(N85, ". ", SUBSTITUTE($E$20,  "]الحيوانات[",$E$24))</f>
        <v>q16209_1. كم عدد الأبقار  الذى تم بيعه؟</v>
      </c>
      <c r="P85" s="190" t="str">
        <f>CONCATENATE(N85, ". ", SUBSTITUTE($B$20, "[animal]",$B$24))</f>
        <v>q16209_1. How many  Cows have been sold?</v>
      </c>
      <c r="Q85" s="31" t="str">
        <f>$F$20</f>
        <v xml:space="preserve"> في حالة لا أعرف سجل  98</v>
      </c>
      <c r="R85" s="31" t="str">
        <f>$C$20</f>
        <v>*If don't know, write 98</v>
      </c>
      <c r="S85" s="31" t="str">
        <f>CONCATENATE($K84," &amp;&amp; ", $S$6)</f>
        <v>selected(data('q16208_1'),'1') &amp;&amp; selected(data('q16202_1'),'1') &amp;&amp; selected(data('q16201'),'1') &amp;&amp; data('valid_overall') == 1</v>
      </c>
      <c r="T85" s="31"/>
      <c r="Y85" s="45" t="b">
        <v>1</v>
      </c>
    </row>
    <row r="86" spans="1:25" s="45" customFormat="1" ht="60">
      <c r="B86" s="117"/>
      <c r="C86" s="117"/>
      <c r="D86" s="54"/>
      <c r="E86" s="117"/>
      <c r="F86" s="117"/>
      <c r="G86" s="54"/>
      <c r="H86" s="191"/>
      <c r="I86" s="54"/>
      <c r="J86" s="193"/>
      <c r="L86" s="54" t="s">
        <v>19</v>
      </c>
      <c r="N86" s="45" t="str">
        <f>CONCATENATE("q",$I$21, "_",$I$24)</f>
        <v>q16210_1</v>
      </c>
      <c r="O86" s="312" t="str">
        <f>CONCATENATE(N86, ". ", SUBSTITUTE($E$21,  "]الحيوانات[",$E$24))</f>
        <v xml:space="preserve">q16210_1. ما  قيمة البيع الإجمالية من الأبقار  ؟ (بالجنيه)
</v>
      </c>
      <c r="P86" s="190" t="str">
        <f>CONCATENATE(N86, ". ", SUBSTITUTE($B$21, "[animal]",$B$24))</f>
        <v>q16210_1. What was the total value of the sales of  Cows ? (in pounds)</v>
      </c>
      <c r="Q86" s="31" t="str">
        <f>$F$21</f>
        <v>في حالة لا أعرف سجل 999998</v>
      </c>
      <c r="R86" s="31" t="str">
        <f>$C$21</f>
        <v xml:space="preserve"> *If don't know, write 999998</v>
      </c>
      <c r="S86" s="31" t="str">
        <f>CONCATENATE($K84," &amp;&amp; ", $S$6)</f>
        <v>selected(data('q16208_1'),'1') &amp;&amp; selected(data('q16202_1'),'1') &amp;&amp; selected(data('q16201'),'1') &amp;&amp; data('valid_overall') == 1</v>
      </c>
      <c r="T86" s="31"/>
      <c r="Y86" s="45" t="b">
        <v>1</v>
      </c>
    </row>
    <row r="87" spans="1:25" s="45" customFormat="1">
      <c r="B87" s="117"/>
      <c r="C87" s="117"/>
      <c r="E87" s="117"/>
      <c r="F87" s="117"/>
      <c r="H87" s="191"/>
      <c r="I87" s="54"/>
      <c r="J87" s="178" t="s">
        <v>42</v>
      </c>
      <c r="L87" s="54"/>
      <c r="O87" s="312"/>
      <c r="P87" s="117"/>
      <c r="Q87" s="117"/>
      <c r="R87" s="117"/>
      <c r="S87" s="117"/>
      <c r="T87" s="117"/>
    </row>
    <row r="88" spans="1:25" s="249" customFormat="1">
      <c r="B88" s="250"/>
      <c r="C88" s="250"/>
      <c r="E88" s="250"/>
      <c r="F88" s="250"/>
      <c r="H88" s="251" t="s">
        <v>792</v>
      </c>
      <c r="I88" s="253"/>
      <c r="J88" s="252"/>
      <c r="L88" s="253"/>
      <c r="O88" s="330"/>
      <c r="P88" s="250"/>
      <c r="Q88" s="250"/>
      <c r="R88" s="250"/>
      <c r="S88" s="250"/>
      <c r="T88" s="250"/>
      <c r="W88" s="45"/>
    </row>
    <row r="89" spans="1:25" s="31" customFormat="1">
      <c r="I89" s="19"/>
      <c r="J89" s="88" t="s">
        <v>23</v>
      </c>
      <c r="K89" s="64" t="str">
        <f>CONCATENATE("selected(data('",$N$6,"'),'1')")</f>
        <v>selected(data('q16201'),'1')</v>
      </c>
      <c r="O89" s="407"/>
    </row>
    <row r="90" spans="1:25" s="45" customFormat="1" ht="60">
      <c r="B90" s="117"/>
      <c r="C90" s="117"/>
      <c r="D90" s="117"/>
      <c r="E90" s="117"/>
      <c r="F90" s="117"/>
      <c r="G90" s="118"/>
      <c r="I90" s="54"/>
      <c r="L90" s="54" t="s">
        <v>18</v>
      </c>
      <c r="M90" s="45" t="s">
        <v>17</v>
      </c>
      <c r="N90" s="45" t="str">
        <f>CONCATENATE("q",$I$8, "_",$I$25)</f>
        <v>q16202_2</v>
      </c>
      <c r="O90" s="312" t="str">
        <f>CONCATENATE(SUBSTITUTE(N90, "q",""), ". ", SUBSTITUTE($E$8, "]الحيوانات[",$E$25))</f>
        <v>16202_2. هل تمتلك الأسرة أو أي من أفرادها أي الطيور والدواجن؟</v>
      </c>
      <c r="P90" s="190" t="str">
        <f>CONCATENATE(N90, ". ", SUBSTITUTE($B$8, "[animal]",$B$25))</f>
        <v>q16202_2. Does any member of your household currently have any  Poultry?</v>
      </c>
      <c r="Q90" s="117"/>
      <c r="R90" s="117"/>
      <c r="S90" s="117" t="str">
        <f>CONCATENATE($K89, " &amp;&amp; ", $S$6)</f>
        <v>selected(data('q16201'),'1') &amp;&amp; data('valid_overall') == 1</v>
      </c>
      <c r="T90" s="117"/>
      <c r="W90" s="117"/>
      <c r="X90" s="117"/>
      <c r="Y90" s="45" t="b">
        <v>1</v>
      </c>
    </row>
    <row r="91" spans="1:25" s="45" customFormat="1">
      <c r="B91" s="117"/>
      <c r="C91" s="117"/>
      <c r="D91" s="117"/>
      <c r="E91" s="117"/>
      <c r="F91" s="117"/>
      <c r="G91" s="118"/>
      <c r="I91" s="54"/>
      <c r="J91" s="178" t="s">
        <v>24</v>
      </c>
      <c r="L91" s="54"/>
      <c r="O91" s="312"/>
      <c r="P91" s="190"/>
      <c r="Q91" s="117"/>
      <c r="R91" s="117"/>
      <c r="S91" s="117"/>
      <c r="T91" s="117"/>
      <c r="W91" s="117"/>
      <c r="X91" s="117"/>
    </row>
    <row r="92" spans="1:25" s="45" customFormat="1">
      <c r="I92" s="15"/>
      <c r="J92" s="178" t="s">
        <v>23</v>
      </c>
      <c r="K92" s="45" t="str">
        <f>CONCATENATE("selected(data('",N90,"'),'1') &amp;&amp; ", K89)</f>
        <v>selected(data('q16202_2'),'1') &amp;&amp; selected(data('q16201'),'1')</v>
      </c>
      <c r="L92" s="54"/>
      <c r="O92" s="312"/>
      <c r="P92" s="117"/>
      <c r="Q92" s="117"/>
      <c r="R92" s="117"/>
      <c r="S92" s="117"/>
      <c r="T92" s="117"/>
    </row>
    <row r="93" spans="1:25" s="45" customFormat="1" ht="60">
      <c r="B93" s="117"/>
      <c r="C93" s="117"/>
      <c r="D93" s="54"/>
      <c r="E93" s="117"/>
      <c r="F93" s="117"/>
      <c r="G93" s="54"/>
      <c r="H93" s="191"/>
      <c r="I93" s="54"/>
      <c r="J93" s="178"/>
      <c r="L93" s="54" t="s">
        <v>19</v>
      </c>
      <c r="N93" s="45" t="str">
        <f>CONCATENATE("q",$I$9, "_",$I$25)</f>
        <v>q16203_2</v>
      </c>
      <c r="O93" s="312" t="str">
        <f>CONCATENATE(SUBSTITUTE(N93, "q",""), ". ", SUBSTITUTE($E$9, "]الحيوانات[",$E$25))</f>
        <v>16203_2. كم عدد الطيور والدواجن التي تملكها الأسرة خلص أو مشاركة؟</v>
      </c>
      <c r="P93" s="117" t="str">
        <f>CONCATENATE(N93, ". ", SUBSTITUTE($B$9, "[animal]",$B$25))</f>
        <v>q16203_2. How many   Poultry does your household currently own entirely or with sharing?</v>
      </c>
      <c r="Q93" s="117"/>
      <c r="R93" s="117"/>
      <c r="S93" s="31" t="str">
        <f>CONCATENATE($K92, " &amp;&amp; ", $S$6)</f>
        <v>selected(data('q16202_2'),'1') &amp;&amp; selected(data('q16201'),'1') &amp;&amp; data('valid_overall') == 1</v>
      </c>
      <c r="T93" s="117"/>
      <c r="Y93" s="45" t="b">
        <v>1</v>
      </c>
    </row>
    <row r="94" spans="1:25" s="45" customFormat="1" ht="60">
      <c r="B94" s="117"/>
      <c r="C94" s="117"/>
      <c r="D94" s="117"/>
      <c r="E94" s="117"/>
      <c r="F94" s="117"/>
      <c r="G94" s="54"/>
      <c r="H94" s="191"/>
      <c r="I94" s="54"/>
      <c r="J94" s="159"/>
      <c r="K94" s="19"/>
      <c r="L94" s="54" t="s">
        <v>18</v>
      </c>
      <c r="M94" s="19" t="s">
        <v>17</v>
      </c>
      <c r="N94" s="54" t="str">
        <f>CONCATENATE("q",$I$10, "_",$I$25,"a")</f>
        <v>q16204_2a</v>
      </c>
      <c r="O94" s="312" t="str">
        <f>CONCATENATE(SUBSTITUTE(N94, "q",""), ". ", SUBSTITUTE($E$10, "]الحيوانات[",$E$25))</f>
        <v>16204_2a. هل الشخص الرئيسي الذي يرعى الطيور والدواجن هو أحد أفراد الأسرة؟</v>
      </c>
      <c r="P94" s="117" t="str">
        <f>CONCATENATE(N94, ". ", SUBSTITUTE($B$10, "[animal]",$B$25))</f>
        <v>q16204_2a. Is the primary person who takes care of the  Poultry a member of the household?</v>
      </c>
      <c r="Q94" s="117"/>
      <c r="R94" s="117"/>
      <c r="S94" s="31" t="str">
        <f>CONCATENATE($K92, " &amp;&amp; ", $S$6)</f>
        <v>selected(data('q16202_2'),'1') &amp;&amp; selected(data('q16201'),'1') &amp;&amp; data('valid_overall') == 1</v>
      </c>
      <c r="T94" s="117"/>
      <c r="Y94" s="45" t="b">
        <v>1</v>
      </c>
    </row>
    <row r="95" spans="1:25" s="45" customFormat="1">
      <c r="B95" s="117"/>
      <c r="C95" s="117"/>
      <c r="D95" s="117"/>
      <c r="E95" s="117"/>
      <c r="F95" s="117"/>
      <c r="G95" s="54"/>
      <c r="H95" s="191"/>
      <c r="I95" s="54"/>
      <c r="J95" s="88" t="s">
        <v>24</v>
      </c>
      <c r="K95" s="19"/>
      <c r="L95" s="54"/>
      <c r="M95" s="19"/>
      <c r="N95" s="54"/>
      <c r="O95" s="312"/>
      <c r="P95" s="117"/>
      <c r="Q95" s="117"/>
      <c r="R95" s="117"/>
      <c r="S95" s="31"/>
      <c r="T95" s="117"/>
    </row>
    <row r="96" spans="1:25" s="45" customFormat="1">
      <c r="B96" s="117"/>
      <c r="C96" s="117"/>
      <c r="D96" s="117"/>
      <c r="E96" s="117"/>
      <c r="F96" s="117"/>
      <c r="G96" s="54"/>
      <c r="H96" s="191"/>
      <c r="I96" s="54"/>
      <c r="J96" s="178" t="s">
        <v>23</v>
      </c>
      <c r="K96" s="44" t="str">
        <f>CONCATENATE("selected(data('",N94,"'),'1') &amp;&amp; ", K92)</f>
        <v>selected(data('q16204_2a'),'1') &amp;&amp; selected(data('q16202_2'),'1') &amp;&amp; selected(data('q16201'),'1')</v>
      </c>
      <c r="L96" s="54"/>
      <c r="M96" s="19"/>
      <c r="N96" s="54"/>
      <c r="O96" s="312"/>
      <c r="P96" s="117"/>
      <c r="Q96" s="117"/>
      <c r="R96" s="117"/>
      <c r="S96" s="117"/>
      <c r="T96" s="117"/>
    </row>
    <row r="97" spans="1:25" s="45" customFormat="1" ht="60">
      <c r="A97" s="117"/>
      <c r="B97" s="54"/>
      <c r="C97" s="54"/>
      <c r="D97" s="117"/>
      <c r="E97" s="54"/>
      <c r="F97" s="54"/>
      <c r="G97" s="191"/>
      <c r="I97" s="54"/>
      <c r="J97" s="159"/>
      <c r="K97" s="19"/>
      <c r="L97" s="19" t="s">
        <v>174</v>
      </c>
      <c r="M97" s="19" t="s">
        <v>206</v>
      </c>
      <c r="N97" s="54" t="str">
        <f>CONCATENATE("q",$I$11, "_",$I$25,"a")</f>
        <v>q16205_2a</v>
      </c>
      <c r="O97" s="312" t="str">
        <f>CONCATENATE(SUBSTITUTE(N97, "q",""),, ". ", SUBSTITUTE($E$11, "]الحيوانات[",$E$25))</f>
        <v>16205_2a. من الشخص المسؤول عن رعاية الطيور والدواجن في الأسرة؟ أول فرد</v>
      </c>
      <c r="P97" s="117" t="str">
        <f>CONCATENATE(N97, ". ", SUBSTITUTE($B$11, "[animal]",$B$25))</f>
        <v>q16205_2a. Who is the primary person who takes care of the  Poultry? First member</v>
      </c>
      <c r="Q97" s="117"/>
      <c r="R97" s="117"/>
      <c r="S97" s="31" t="str">
        <f>CONCATENATE($K96, " &amp;&amp; ", $S$6)</f>
        <v>selected(data('q16204_2a'),'1') &amp;&amp; selected(data('q16202_2'),'1') &amp;&amp; selected(data('q16201'),'1') &amp;&amp; data('valid_overall') == 1</v>
      </c>
      <c r="T97" s="117"/>
      <c r="Y97" s="45" t="b">
        <v>1</v>
      </c>
    </row>
    <row r="98" spans="1:25" s="45" customFormat="1">
      <c r="A98" s="117"/>
      <c r="B98" s="54"/>
      <c r="C98" s="54"/>
      <c r="D98" s="117"/>
      <c r="E98" s="54"/>
      <c r="F98" s="54"/>
      <c r="G98" s="191"/>
      <c r="I98" s="54"/>
      <c r="J98" s="178" t="s">
        <v>24</v>
      </c>
      <c r="K98" s="19"/>
      <c r="L98" s="19"/>
      <c r="M98" s="19"/>
      <c r="N98" s="54"/>
      <c r="O98" s="312"/>
      <c r="P98" s="117"/>
      <c r="Q98" s="117"/>
      <c r="R98" s="117"/>
      <c r="S98" s="31"/>
      <c r="T98" s="117"/>
    </row>
    <row r="99" spans="1:25" s="45" customFormat="1">
      <c r="A99" s="117"/>
      <c r="B99" s="175"/>
      <c r="C99" s="175"/>
      <c r="D99" s="117"/>
      <c r="I99" s="54"/>
      <c r="J99" s="178" t="s">
        <v>23</v>
      </c>
      <c r="K99" s="54" t="str">
        <f>K92</f>
        <v>selected(data('q16202_2'),'1') &amp;&amp; selected(data('q16201'),'1')</v>
      </c>
      <c r="L99" s="174"/>
      <c r="M99" s="174"/>
      <c r="N99" s="174"/>
      <c r="O99" s="312"/>
      <c r="P99" s="117"/>
      <c r="Q99" s="117"/>
      <c r="R99" s="117"/>
      <c r="S99" s="117"/>
      <c r="T99" s="117"/>
      <c r="W99" s="117"/>
      <c r="X99" s="117"/>
    </row>
    <row r="100" spans="1:25" s="45" customFormat="1">
      <c r="A100" s="117"/>
      <c r="B100" s="175"/>
      <c r="C100" s="175"/>
      <c r="D100" s="117"/>
      <c r="I100" s="54"/>
      <c r="J100" s="44" t="s">
        <v>20</v>
      </c>
      <c r="K100" s="54"/>
      <c r="L100" s="174"/>
      <c r="M100" s="174"/>
      <c r="N100" s="174"/>
      <c r="O100" s="312"/>
      <c r="P100" s="117"/>
      <c r="Q100" s="117"/>
      <c r="R100" s="117"/>
      <c r="S100" s="117"/>
      <c r="T100" s="117"/>
      <c r="W100" s="117"/>
      <c r="X100" s="117"/>
    </row>
    <row r="101" spans="1:25" s="45" customFormat="1">
      <c r="A101" s="117"/>
      <c r="B101" s="175"/>
      <c r="C101" s="175"/>
      <c r="D101" s="117"/>
      <c r="I101" s="54"/>
      <c r="J101" s="176" t="s">
        <v>23</v>
      </c>
      <c r="K101" s="54" t="str">
        <f>K96</f>
        <v>selected(data('q16204_2a'),'1') &amp;&amp; selected(data('q16202_2'),'1') &amp;&amp; selected(data('q16201'),'1')</v>
      </c>
      <c r="L101" s="174"/>
      <c r="M101" s="174"/>
      <c r="N101" s="174"/>
      <c r="O101" s="312"/>
      <c r="P101" s="117"/>
      <c r="Q101" s="117"/>
      <c r="R101" s="117"/>
      <c r="S101" s="117"/>
      <c r="T101" s="117"/>
      <c r="W101" s="117"/>
      <c r="X101" s="117"/>
    </row>
    <row r="102" spans="1:25" s="45" customFormat="1">
      <c r="A102" s="117"/>
      <c r="B102" s="175"/>
      <c r="C102" s="175"/>
      <c r="D102" s="117"/>
      <c r="I102" s="54"/>
      <c r="K102" s="54"/>
      <c r="L102" s="174" t="s">
        <v>413</v>
      </c>
      <c r="M102" s="174" t="str">
        <f>CONCATENATE(M97,"_line_",N97)</f>
        <v>roster_line_q16205_2a</v>
      </c>
      <c r="N102" s="174" t="str">
        <f>CONCATENATE(N97,"_1")</f>
        <v>q16205_2a_1</v>
      </c>
      <c r="O102" s="312"/>
      <c r="P102" s="117"/>
      <c r="Q102" s="117"/>
      <c r="R102" s="117"/>
      <c r="S102" s="117" t="str">
        <f>S97</f>
        <v>selected(data('q16204_2a'),'1') &amp;&amp; selected(data('q16202_2'),'1') &amp;&amp; selected(data('q16201'),'1') &amp;&amp; data('valid_overall') == 1</v>
      </c>
      <c r="T102" s="117"/>
      <c r="W102" s="117"/>
      <c r="X102" s="117"/>
      <c r="Y102" s="45" t="b">
        <v>1</v>
      </c>
    </row>
    <row r="103" spans="1:25" s="45" customFormat="1">
      <c r="A103" s="117"/>
      <c r="B103" s="175"/>
      <c r="C103" s="175"/>
      <c r="D103" s="117"/>
      <c r="I103" s="54"/>
      <c r="J103" s="176" t="s">
        <v>24</v>
      </c>
      <c r="K103" s="54"/>
      <c r="L103" s="174"/>
      <c r="M103" s="174"/>
      <c r="N103" s="174"/>
      <c r="O103" s="312"/>
      <c r="P103" s="117"/>
      <c r="Q103" s="117"/>
      <c r="R103" s="117"/>
      <c r="S103" s="117"/>
      <c r="T103" s="117"/>
      <c r="W103" s="117"/>
      <c r="X103" s="117"/>
    </row>
    <row r="104" spans="1:25" s="45" customFormat="1" ht="45">
      <c r="A104" s="117"/>
      <c r="B104" s="175"/>
      <c r="C104" s="175"/>
      <c r="D104" s="117"/>
      <c r="I104" s="54"/>
      <c r="K104" s="54"/>
      <c r="L104" s="174" t="s">
        <v>18</v>
      </c>
      <c r="M104" s="19" t="s">
        <v>17</v>
      </c>
      <c r="N104" s="54" t="str">
        <f>CONCATENATE("q",$I$12, "_",$I$25,"a")</f>
        <v>q16206_2a</v>
      </c>
      <c r="O104" s="312" t="str">
        <f>CONCATENATE(SUBSTITUTE(N104, "q",""),, ". ", SUBSTITUTE($E$12, "]الحيوانات[",$E$25))</f>
        <v>16206_2a. هل هناك شخص آخر يرعى الطيور والدواجن؟</v>
      </c>
      <c r="P104" s="117" t="str">
        <f>CONCATENATE(N104, ". ", SUBSTITUTE($B$12, "[animal]",$B$25))</f>
        <v>q16206_2a. Is there another person who takes care of the  Poultry?</v>
      </c>
      <c r="Q104" s="117"/>
      <c r="R104" s="117"/>
      <c r="S104" s="31" t="str">
        <f>CONCATENATE($K99, " &amp;&amp; ", $S$6)</f>
        <v>selected(data('q16202_2'),'1') &amp;&amp; selected(data('q16201'),'1') &amp;&amp; data('valid_overall') == 1</v>
      </c>
      <c r="T104" s="117"/>
      <c r="W104" s="117"/>
      <c r="X104" s="117"/>
      <c r="Y104" s="45" t="b">
        <v>1</v>
      </c>
    </row>
    <row r="105" spans="1:25" s="45" customFormat="1">
      <c r="A105" s="117"/>
      <c r="B105" s="175"/>
      <c r="C105" s="175"/>
      <c r="D105" s="117"/>
      <c r="I105" s="54"/>
      <c r="J105" s="45" t="s">
        <v>21</v>
      </c>
      <c r="K105" s="54"/>
      <c r="L105" s="174"/>
      <c r="M105" s="19"/>
      <c r="N105" s="54"/>
      <c r="O105" s="312"/>
      <c r="P105" s="117"/>
      <c r="Q105" s="117"/>
      <c r="R105" s="117"/>
      <c r="S105" s="31"/>
      <c r="T105" s="117"/>
      <c r="W105" s="117"/>
      <c r="X105" s="117"/>
    </row>
    <row r="106" spans="1:25" s="45" customFormat="1">
      <c r="A106" s="117"/>
      <c r="B106" s="175"/>
      <c r="C106" s="175"/>
      <c r="D106" s="117"/>
      <c r="I106" s="54"/>
      <c r="J106" s="178" t="s">
        <v>24</v>
      </c>
      <c r="K106" s="54"/>
      <c r="L106" s="174"/>
      <c r="M106" s="19"/>
      <c r="N106" s="54"/>
      <c r="O106" s="312"/>
      <c r="P106" s="117"/>
      <c r="Q106" s="117"/>
      <c r="R106" s="117"/>
      <c r="S106" s="31"/>
      <c r="T106" s="117"/>
      <c r="W106" s="117"/>
      <c r="X106" s="117"/>
    </row>
    <row r="107" spans="1:25" s="45" customFormat="1">
      <c r="A107" s="117"/>
      <c r="B107" s="175"/>
      <c r="C107" s="175"/>
      <c r="D107" s="117"/>
      <c r="I107" s="54"/>
      <c r="J107" s="178" t="s">
        <v>23</v>
      </c>
      <c r="K107" s="44" t="str">
        <f>CONCATENATE("selected(data('",N104,"'),'1') &amp;&amp; ",K99)</f>
        <v>selected(data('q16206_2a'),'1') &amp;&amp; selected(data('q16202_2'),'1') &amp;&amp; selected(data('q16201'),'1')</v>
      </c>
      <c r="L107" s="174"/>
      <c r="M107" s="174"/>
      <c r="N107" s="54"/>
      <c r="O107" s="312"/>
      <c r="P107" s="117"/>
      <c r="Q107" s="117"/>
      <c r="R107" s="117"/>
      <c r="S107" s="117"/>
      <c r="T107" s="117"/>
      <c r="W107" s="117"/>
      <c r="X107" s="117"/>
    </row>
    <row r="108" spans="1:25" s="45" customFormat="1">
      <c r="A108" s="117"/>
      <c r="B108" s="175"/>
      <c r="C108" s="175"/>
      <c r="D108" s="117"/>
      <c r="I108" s="54"/>
      <c r="J108" s="44" t="s">
        <v>20</v>
      </c>
      <c r="K108" s="44"/>
      <c r="L108" s="174"/>
      <c r="M108" s="174"/>
      <c r="N108" s="54"/>
      <c r="O108" s="312"/>
      <c r="P108" s="117"/>
      <c r="Q108" s="117"/>
      <c r="R108" s="117"/>
      <c r="S108" s="117"/>
      <c r="T108" s="117"/>
      <c r="W108" s="117"/>
      <c r="X108" s="117"/>
    </row>
    <row r="109" spans="1:25" s="45" customFormat="1" ht="60">
      <c r="A109" s="117"/>
      <c r="B109" s="175"/>
      <c r="C109" s="175"/>
      <c r="D109" s="117"/>
      <c r="I109" s="54"/>
      <c r="K109" s="54"/>
      <c r="L109" s="174" t="s">
        <v>18</v>
      </c>
      <c r="M109" s="19" t="s">
        <v>17</v>
      </c>
      <c r="N109" s="54" t="str">
        <f>CONCATENATE("q",$I$13, "_",$I$25,"b")</f>
        <v>q16204_2b</v>
      </c>
      <c r="O109" s="312" t="str">
        <f>CONCATENATE(SUBSTITUTE(N109, "q",""),, ". ", SUBSTITUTE($E$13, "]الحيوانات[",$E$25))</f>
        <v>16204_2b. هل الشخص الثاني الذي يرعى الطيور والدواجن هو أحد أفراد الأسرة؟</v>
      </c>
      <c r="P109" s="117" t="str">
        <f>CONCATENATE(N109, ". ", SUBSTITUTE($B$13, "[animal]",$B$25))</f>
        <v>q16204_2b. Is the second person who takes care of the  Poultry a member of the household?</v>
      </c>
      <c r="Q109" s="117"/>
      <c r="R109" s="117"/>
      <c r="S109" s="31" t="str">
        <f>CONCATENATE($K107, " &amp;&amp; ", $S$6)</f>
        <v>selected(data('q16206_2a'),'1') &amp;&amp; selected(data('q16202_2'),'1') &amp;&amp; selected(data('q16201'),'1') &amp;&amp; data('valid_overall') == 1</v>
      </c>
      <c r="T109" s="117"/>
      <c r="W109" s="117"/>
      <c r="X109" s="117"/>
      <c r="Y109" s="45" t="b">
        <v>1</v>
      </c>
    </row>
    <row r="110" spans="1:25" s="45" customFormat="1">
      <c r="A110" s="117"/>
      <c r="B110" s="175"/>
      <c r="C110" s="175"/>
      <c r="D110" s="117"/>
      <c r="I110" s="54"/>
      <c r="J110" s="45" t="s">
        <v>21</v>
      </c>
      <c r="K110" s="54"/>
      <c r="L110" s="174"/>
      <c r="M110" s="19"/>
      <c r="N110" s="54"/>
      <c r="O110" s="312"/>
      <c r="P110" s="117"/>
      <c r="Q110" s="117"/>
      <c r="R110" s="117"/>
      <c r="S110" s="31"/>
      <c r="T110" s="117"/>
      <c r="W110" s="117"/>
      <c r="X110" s="117"/>
    </row>
    <row r="111" spans="1:25" s="45" customFormat="1">
      <c r="A111" s="117"/>
      <c r="B111" s="175"/>
      <c r="C111" s="175"/>
      <c r="D111" s="117"/>
      <c r="I111" s="54"/>
      <c r="J111" s="178" t="s">
        <v>24</v>
      </c>
      <c r="K111" s="54"/>
      <c r="L111" s="174"/>
      <c r="M111" s="19"/>
      <c r="N111" s="54"/>
      <c r="O111" s="312"/>
      <c r="P111" s="117"/>
      <c r="Q111" s="117"/>
      <c r="R111" s="117"/>
      <c r="S111" s="31"/>
      <c r="T111" s="117"/>
      <c r="W111" s="117"/>
      <c r="X111" s="117"/>
    </row>
    <row r="112" spans="1:25" s="45" customFormat="1">
      <c r="A112" s="117"/>
      <c r="B112" s="175"/>
      <c r="C112" s="175"/>
      <c r="D112" s="117"/>
      <c r="I112" s="54"/>
      <c r="J112" s="178" t="s">
        <v>23</v>
      </c>
      <c r="K112" s="44" t="str">
        <f>CONCATENATE("selected(data('",N109,"'),'1') &amp;&amp;", K107)</f>
        <v>selected(data('q16204_2b'),'1') &amp;&amp;selected(data('q16206_2a'),'1') &amp;&amp; selected(data('q16202_2'),'1') &amp;&amp; selected(data('q16201'),'1')</v>
      </c>
      <c r="L112" s="174"/>
      <c r="M112" s="174"/>
      <c r="N112" s="54"/>
      <c r="O112" s="312"/>
      <c r="P112" s="117"/>
      <c r="Q112" s="117"/>
      <c r="R112" s="117"/>
      <c r="S112" s="117"/>
      <c r="T112" s="117"/>
      <c r="W112" s="117"/>
      <c r="X112" s="117"/>
    </row>
    <row r="113" spans="1:25" s="45" customFormat="1" ht="75">
      <c r="A113" s="117"/>
      <c r="B113" s="54"/>
      <c r="C113" s="54"/>
      <c r="D113" s="117"/>
      <c r="E113" s="54"/>
      <c r="F113" s="54"/>
      <c r="G113" s="191"/>
      <c r="I113" s="54"/>
      <c r="J113" s="159"/>
      <c r="K113" s="19"/>
      <c r="L113" s="19" t="s">
        <v>174</v>
      </c>
      <c r="M113" s="19" t="s">
        <v>206</v>
      </c>
      <c r="N113" s="54" t="str">
        <f>CONCATENATE("q",$I$14, "_",$I$25,"b")</f>
        <v>q16205_2b</v>
      </c>
      <c r="O113" s="312" t="str">
        <f>CONCATENATE(SUBSTITUTE(N113, "q",""), ". ", SUBSTITUTE($E$14, "]الحيوانات[",$E$25))</f>
        <v xml:space="preserve">16205_2b. من الشخص المسؤول عن رعاية الطيور والدواجن في الأسرة؟ الفرد الثاني </v>
      </c>
      <c r="P113" s="117" t="str">
        <f>CONCATENATE(N113, ". ", SUBSTITUTE($B$14, "[animal]",$B$25))</f>
        <v>q16205_2b. Who is the person who takes care of the  Poultry? Second member</v>
      </c>
      <c r="Q113" s="117"/>
      <c r="R113" s="117"/>
      <c r="S113" s="31" t="str">
        <f>CONCATENATE($K112, " &amp;&amp; ", $S$6)</f>
        <v>selected(data('q16204_2b'),'1') &amp;&amp;selected(data('q16206_2a'),'1') &amp;&amp; selected(data('q16202_2'),'1') &amp;&amp; selected(data('q16201'),'1') &amp;&amp; data('valid_overall') == 1</v>
      </c>
      <c r="T113" s="117"/>
      <c r="Y113" s="45" t="b">
        <v>1</v>
      </c>
    </row>
    <row r="114" spans="1:25" s="45" customFormat="1">
      <c r="A114" s="117"/>
      <c r="B114" s="54"/>
      <c r="C114" s="54"/>
      <c r="D114" s="117"/>
      <c r="E114" s="54"/>
      <c r="F114" s="54"/>
      <c r="G114" s="191"/>
      <c r="I114" s="54"/>
      <c r="J114" s="88" t="s">
        <v>24</v>
      </c>
      <c r="K114" s="19"/>
      <c r="L114" s="19"/>
      <c r="M114" s="19"/>
      <c r="N114" s="54"/>
      <c r="O114" s="312"/>
      <c r="P114" s="117"/>
      <c r="Q114" s="117"/>
      <c r="R114" s="117"/>
      <c r="S114" s="31"/>
      <c r="T114" s="117"/>
      <c r="V114" s="31"/>
      <c r="W114" s="31"/>
      <c r="X114" s="31"/>
    </row>
    <row r="115" spans="1:25" s="45" customFormat="1">
      <c r="A115" s="117"/>
      <c r="B115" s="175"/>
      <c r="C115" s="175"/>
      <c r="D115" s="117"/>
      <c r="I115" s="54"/>
      <c r="J115" s="178" t="s">
        <v>23</v>
      </c>
      <c r="K115" s="54" t="str">
        <f>K107</f>
        <v>selected(data('q16206_2a'),'1') &amp;&amp; selected(data('q16202_2'),'1') &amp;&amp; selected(data('q16201'),'1')</v>
      </c>
      <c r="L115" s="174"/>
      <c r="M115" s="174"/>
      <c r="N115" s="174"/>
      <c r="O115" s="312"/>
      <c r="P115" s="117"/>
      <c r="Q115" s="117"/>
      <c r="R115" s="117"/>
      <c r="S115" s="117"/>
      <c r="T115" s="117"/>
      <c r="W115" s="117"/>
      <c r="X115" s="117"/>
    </row>
    <row r="116" spans="1:25" s="45" customFormat="1">
      <c r="A116" s="117"/>
      <c r="B116" s="175"/>
      <c r="C116" s="175"/>
      <c r="D116" s="117"/>
      <c r="I116" s="54"/>
      <c r="J116" s="44" t="s">
        <v>20</v>
      </c>
      <c r="K116" s="54"/>
      <c r="L116" s="174"/>
      <c r="M116" s="174"/>
      <c r="N116" s="174"/>
      <c r="O116" s="312"/>
      <c r="P116" s="117"/>
      <c r="Q116" s="117"/>
      <c r="R116" s="117"/>
      <c r="S116" s="117"/>
      <c r="T116" s="117"/>
      <c r="W116" s="117"/>
      <c r="X116" s="117"/>
    </row>
    <row r="117" spans="1:25" s="45" customFormat="1">
      <c r="A117" s="117"/>
      <c r="B117" s="175"/>
      <c r="C117" s="175"/>
      <c r="D117" s="117"/>
      <c r="I117" s="54"/>
      <c r="J117" s="176" t="s">
        <v>23</v>
      </c>
      <c r="K117" s="54" t="str">
        <f>K112</f>
        <v>selected(data('q16204_2b'),'1') &amp;&amp;selected(data('q16206_2a'),'1') &amp;&amp; selected(data('q16202_2'),'1') &amp;&amp; selected(data('q16201'),'1')</v>
      </c>
      <c r="L117" s="174"/>
      <c r="M117" s="174"/>
      <c r="N117" s="174"/>
      <c r="O117" s="312"/>
      <c r="P117" s="117"/>
      <c r="Q117" s="117"/>
      <c r="R117" s="117"/>
      <c r="S117" s="117"/>
      <c r="T117" s="117"/>
      <c r="W117" s="117"/>
      <c r="X117" s="117"/>
    </row>
    <row r="118" spans="1:25" s="45" customFormat="1" ht="105">
      <c r="A118" s="117"/>
      <c r="B118" s="175"/>
      <c r="C118" s="175"/>
      <c r="D118" s="117"/>
      <c r="I118" s="54"/>
      <c r="J118" s="44"/>
      <c r="K118" s="54"/>
      <c r="L118" s="174" t="s">
        <v>413</v>
      </c>
      <c r="M118" s="174" t="str">
        <f>CONCATENATE(M113,"_line_",N113)</f>
        <v>roster_line_q16205_2b</v>
      </c>
      <c r="N118" s="174" t="str">
        <f>CONCATENATE(N113,"_1")</f>
        <v>q16205_2b_1</v>
      </c>
      <c r="O118" s="312"/>
      <c r="P118" s="117"/>
      <c r="Q118" s="117"/>
      <c r="R118" s="117"/>
      <c r="S118" s="117" t="str">
        <f>S113</f>
        <v>selected(data('q16204_2b'),'1') &amp;&amp;selected(data('q16206_2a'),'1') &amp;&amp; selected(data('q16202_2'),'1') &amp;&amp; selected(data('q16201'),'1') &amp;&amp; data('valid_overall') == 1</v>
      </c>
      <c r="T118" s="117"/>
      <c r="V118" s="31" t="str">
        <f>CONCATENATE("(data('",N102,"') != data('",N118,"')) || selected(data('",N104,"'), '2')   || selected(data('",N94,"'), '2')  || selected(data('",N109,"'), '2')  || selected(data('",N90,"'), '2') || selected(data('",$N$6,"'),'2') || data('valid_overall') == 0")</f>
        <v>(data('q16205_2a_1') != data('q16205_2b_1')) || selected(data('q16206_2a'), '2')   || selected(data('q16204_2a'), '2')  || selected(data('q16204_2b'), '2')  || selected(data('q16202_2'), '2') || selected(data('q16201'),'2') || data('valid_overall') == 0</v>
      </c>
      <c r="W118" s="31" t="s">
        <v>1033</v>
      </c>
      <c r="X118" s="31" t="s">
        <v>555</v>
      </c>
      <c r="Y118" s="45" t="b">
        <v>1</v>
      </c>
    </row>
    <row r="119" spans="1:25" s="45" customFormat="1">
      <c r="A119" s="117"/>
      <c r="B119" s="175"/>
      <c r="C119" s="175"/>
      <c r="D119" s="117"/>
      <c r="I119" s="54"/>
      <c r="J119" s="176" t="s">
        <v>24</v>
      </c>
      <c r="K119" s="54"/>
      <c r="L119" s="174"/>
      <c r="M119" s="174"/>
      <c r="N119" s="174"/>
      <c r="O119" s="312"/>
      <c r="P119" s="117"/>
      <c r="Q119" s="117"/>
      <c r="R119" s="117"/>
      <c r="S119" s="117"/>
      <c r="T119" s="117"/>
      <c r="W119" s="117"/>
      <c r="X119" s="117"/>
    </row>
    <row r="120" spans="1:25" s="45" customFormat="1" ht="60">
      <c r="A120" s="117"/>
      <c r="B120" s="175"/>
      <c r="C120" s="175"/>
      <c r="D120" s="117"/>
      <c r="I120" s="54"/>
      <c r="K120" s="54"/>
      <c r="L120" s="174" t="s">
        <v>18</v>
      </c>
      <c r="M120" s="19" t="s">
        <v>17</v>
      </c>
      <c r="N120" s="54" t="str">
        <f>CONCATENATE("q",$I$15, "_",$I$25,"b")</f>
        <v>q16206_2b</v>
      </c>
      <c r="O120" s="312" t="str">
        <f>CONCATENATE(SUBSTITUTE(N120, "q",""),, ". ", SUBSTITUTE($E$15, "]الحيوانات[",$E$25))</f>
        <v>16206_2b. هل هناك شخص آخر يرعى الطيور والدواجن؟</v>
      </c>
      <c r="P120" s="117" t="str">
        <f>CONCATENATE(N120, ". ", SUBSTITUTE($B$15, "[animal]",$B$25))</f>
        <v>q16206_2b. Is there another person who takes care of the  Poultry?</v>
      </c>
      <c r="Q120" s="117"/>
      <c r="R120" s="117"/>
      <c r="S120" s="31" t="str">
        <f>CONCATENATE($K115, " &amp;&amp; ", $S$6)</f>
        <v>selected(data('q16206_2a'),'1') &amp;&amp; selected(data('q16202_2'),'1') &amp;&amp; selected(data('q16201'),'1') &amp;&amp; data('valid_overall') == 1</v>
      </c>
      <c r="T120" s="117"/>
      <c r="W120" s="117"/>
      <c r="X120" s="117"/>
      <c r="Y120" s="45" t="b">
        <v>1</v>
      </c>
    </row>
    <row r="121" spans="1:25" s="45" customFormat="1">
      <c r="A121" s="117"/>
      <c r="B121" s="175"/>
      <c r="C121" s="175"/>
      <c r="D121" s="117"/>
      <c r="I121" s="54"/>
      <c r="J121" s="45" t="s">
        <v>21</v>
      </c>
      <c r="K121" s="54"/>
      <c r="L121" s="174"/>
      <c r="M121" s="19"/>
      <c r="N121" s="54"/>
      <c r="O121" s="312"/>
      <c r="P121" s="117"/>
      <c r="Q121" s="117"/>
      <c r="R121" s="117"/>
      <c r="S121" s="31"/>
      <c r="T121" s="117"/>
      <c r="W121" s="117"/>
      <c r="X121" s="117"/>
    </row>
    <row r="122" spans="1:25" s="45" customFormat="1">
      <c r="A122" s="117"/>
      <c r="B122" s="175"/>
      <c r="C122" s="175"/>
      <c r="D122" s="117"/>
      <c r="I122" s="54"/>
      <c r="J122" s="178" t="s">
        <v>24</v>
      </c>
      <c r="K122" s="54"/>
      <c r="L122" s="174"/>
      <c r="M122" s="19"/>
      <c r="N122" s="54"/>
      <c r="O122" s="312" t="s">
        <v>471</v>
      </c>
      <c r="P122" s="117"/>
      <c r="Q122" s="117"/>
      <c r="R122" s="117"/>
      <c r="S122" s="31"/>
      <c r="T122" s="117"/>
      <c r="W122" s="117"/>
      <c r="X122" s="117"/>
    </row>
    <row r="123" spans="1:25" s="45" customFormat="1">
      <c r="A123" s="117"/>
      <c r="B123" s="175"/>
      <c r="C123" s="175"/>
      <c r="D123" s="117"/>
      <c r="I123" s="54"/>
      <c r="J123" s="178" t="s">
        <v>23</v>
      </c>
      <c r="K123" s="44" t="str">
        <f>CONCATENATE("selected(data('",N120,"'),'1') &amp;&amp; ", K115)</f>
        <v>selected(data('q16206_2b'),'1') &amp;&amp; selected(data('q16206_2a'),'1') &amp;&amp; selected(data('q16202_2'),'1') &amp;&amp; selected(data('q16201'),'1')</v>
      </c>
      <c r="L123" s="174"/>
      <c r="M123" s="174"/>
      <c r="N123" s="54"/>
      <c r="O123" s="312"/>
      <c r="P123" s="117"/>
      <c r="Q123" s="117"/>
      <c r="R123" s="117"/>
      <c r="S123" s="117"/>
      <c r="T123" s="117"/>
      <c r="W123" s="117"/>
      <c r="X123" s="117"/>
    </row>
    <row r="124" spans="1:25" s="45" customFormat="1" ht="75">
      <c r="A124" s="117"/>
      <c r="B124" s="175"/>
      <c r="C124" s="175"/>
      <c r="D124" s="117"/>
      <c r="I124" s="54"/>
      <c r="K124" s="54"/>
      <c r="L124" s="174" t="s">
        <v>18</v>
      </c>
      <c r="M124" s="19" t="s">
        <v>17</v>
      </c>
      <c r="N124" s="54" t="str">
        <f>CONCATENATE("q",$I$16, "_",$I$25,"c")</f>
        <v>q16204_2c</v>
      </c>
      <c r="O124" s="312" t="str">
        <f>CONCATENATE(SUBSTITUTE(N124, "q",""),, ". ", SUBSTITUTE($E$16, "]الحيوانات[",$E$25))</f>
        <v>16204_2c. هل الشخص الثالث الذي يرعى الطيور والدواجن هو أحد أفراد الأسرة؟</v>
      </c>
      <c r="P124" s="117" t="str">
        <f>CONCATENATE(N124, ". ", SUBSTITUTE($B$16, "[animal]",$B$25))</f>
        <v>q16204_2c. Is the third person who takes care of the  Poultry a member of the household?</v>
      </c>
      <c r="Q124" s="117"/>
      <c r="R124" s="117"/>
      <c r="S124" s="31" t="str">
        <f>CONCATENATE($K123, " &amp;&amp; ", $S$6)</f>
        <v>selected(data('q16206_2b'),'1') &amp;&amp; selected(data('q16206_2a'),'1') &amp;&amp; selected(data('q16202_2'),'1') &amp;&amp; selected(data('q16201'),'1') &amp;&amp; data('valid_overall') == 1</v>
      </c>
      <c r="T124" s="117"/>
      <c r="W124" s="117"/>
      <c r="X124" s="117"/>
      <c r="Y124" s="45" t="b">
        <v>1</v>
      </c>
    </row>
    <row r="125" spans="1:25" s="45" customFormat="1">
      <c r="A125" s="117"/>
      <c r="B125" s="175"/>
      <c r="C125" s="175"/>
      <c r="D125" s="117"/>
      <c r="I125" s="54"/>
      <c r="J125" s="178" t="s">
        <v>24</v>
      </c>
      <c r="K125" s="54"/>
      <c r="L125" s="174"/>
      <c r="M125" s="19"/>
      <c r="N125" s="54"/>
      <c r="O125" s="312"/>
      <c r="P125" s="117"/>
      <c r="Q125" s="117"/>
      <c r="R125" s="117"/>
      <c r="S125" s="31"/>
      <c r="T125" s="117"/>
      <c r="W125" s="117"/>
      <c r="X125" s="117"/>
    </row>
    <row r="126" spans="1:25" s="45" customFormat="1">
      <c r="A126" s="117"/>
      <c r="B126" s="175"/>
      <c r="C126" s="175"/>
      <c r="D126" s="117"/>
      <c r="I126" s="54"/>
      <c r="J126" s="178" t="s">
        <v>23</v>
      </c>
      <c r="K126" s="44" t="str">
        <f>CONCATENATE("selected(data('",N124,"'),'1') &amp;&amp; ", K123)</f>
        <v>selected(data('q16204_2c'),'1') &amp;&amp; selected(data('q16206_2b'),'1') &amp;&amp; selected(data('q16206_2a'),'1') &amp;&amp; selected(data('q16202_2'),'1') &amp;&amp; selected(data('q16201'),'1')</v>
      </c>
      <c r="L126" s="174"/>
      <c r="M126" s="174"/>
      <c r="N126" s="54"/>
      <c r="O126" s="312"/>
      <c r="P126" s="117"/>
      <c r="Q126" s="117"/>
      <c r="R126" s="117"/>
      <c r="S126" s="117"/>
      <c r="T126" s="117"/>
      <c r="W126" s="117"/>
      <c r="X126" s="117"/>
    </row>
    <row r="127" spans="1:25" s="45" customFormat="1" ht="90">
      <c r="A127" s="117"/>
      <c r="B127" s="54"/>
      <c r="C127" s="54"/>
      <c r="D127" s="117"/>
      <c r="E127" s="54"/>
      <c r="F127" s="54"/>
      <c r="G127" s="191"/>
      <c r="I127" s="54"/>
      <c r="J127" s="197"/>
      <c r="K127" s="19"/>
      <c r="L127" s="19" t="s">
        <v>174</v>
      </c>
      <c r="M127" s="19" t="s">
        <v>206</v>
      </c>
      <c r="N127" s="54" t="str">
        <f>CONCATENATE("q",$I$17, "_",$I$25,"c")</f>
        <v>q16205_2c</v>
      </c>
      <c r="O127" s="312" t="str">
        <f>CONCATENATE(N127, ". ", SUBSTITUTE($E$16, "]الحيوانات[",$E$25))</f>
        <v>q16205_2c. هل الشخص الثالث الذي يرعى الطيور والدواجن هو أحد أفراد الأسرة؟</v>
      </c>
      <c r="P127" s="117" t="str">
        <f>CONCATENATE(N127, ". ", SUBSTITUTE($B$17, "[animal]",$B$25))</f>
        <v>q16205_2c. Who is the person who takes care of the  Poultry? Third member</v>
      </c>
      <c r="Q127" s="117"/>
      <c r="R127" s="117"/>
      <c r="S127" s="31" t="str">
        <f>CONCATENATE($K126, " &amp;&amp; ",$S$6)</f>
        <v>selected(data('q16204_2c'),'1') &amp;&amp; selected(data('q16206_2b'),'1') &amp;&amp; selected(data('q16206_2a'),'1') &amp;&amp; selected(data('q16202_2'),'1') &amp;&amp; selected(data('q16201'),'1') &amp;&amp; data('valid_overall') == 1</v>
      </c>
      <c r="T127" s="117"/>
      <c r="Y127" s="45" t="b">
        <v>1</v>
      </c>
    </row>
    <row r="128" spans="1:25" s="404" customFormat="1">
      <c r="I128" s="18"/>
      <c r="L128" s="18"/>
      <c r="O128" s="70"/>
      <c r="P128" s="30"/>
      <c r="Q128" s="30"/>
      <c r="R128" s="30"/>
      <c r="S128" s="30"/>
      <c r="T128" s="30"/>
    </row>
    <row r="129" spans="1:25" s="45" customFormat="1">
      <c r="A129" s="117"/>
      <c r="B129" s="54"/>
      <c r="C129" s="54"/>
      <c r="D129" s="117"/>
      <c r="E129" s="54"/>
      <c r="F129" s="54"/>
      <c r="G129" s="191"/>
      <c r="I129" s="54"/>
      <c r="J129" s="88" t="s">
        <v>42</v>
      </c>
      <c r="K129" s="64"/>
      <c r="L129" s="19"/>
      <c r="M129" s="64"/>
      <c r="N129" s="64"/>
      <c r="O129" s="407"/>
      <c r="P129" s="31"/>
      <c r="Q129" s="117"/>
      <c r="R129" s="117"/>
      <c r="S129" s="117"/>
      <c r="T129" s="117"/>
    </row>
    <row r="130" spans="1:25" s="45" customFormat="1">
      <c r="A130" s="117"/>
      <c r="B130" s="54"/>
      <c r="C130" s="54"/>
      <c r="D130" s="117"/>
      <c r="E130" s="54"/>
      <c r="F130" s="54"/>
      <c r="G130" s="191"/>
      <c r="I130" s="54"/>
      <c r="J130" s="88" t="s">
        <v>23</v>
      </c>
      <c r="K130" s="64" t="str">
        <f>K92</f>
        <v>selected(data('q16202_2'),'1') &amp;&amp; selected(data('q16201'),'1')</v>
      </c>
      <c r="L130" s="19"/>
      <c r="M130" s="64"/>
      <c r="N130" s="64"/>
      <c r="O130" s="407"/>
      <c r="P130" s="31"/>
      <c r="Q130" s="117"/>
      <c r="R130" s="117"/>
      <c r="S130" s="117"/>
      <c r="T130" s="117"/>
    </row>
    <row r="131" spans="1:25" s="45" customFormat="1">
      <c r="A131" s="117"/>
      <c r="B131" s="54"/>
      <c r="C131" s="54"/>
      <c r="D131" s="117"/>
      <c r="E131" s="54"/>
      <c r="F131" s="54"/>
      <c r="G131" s="191"/>
      <c r="I131" s="54"/>
      <c r="J131" s="405" t="s">
        <v>20</v>
      </c>
      <c r="K131" s="64"/>
      <c r="L131" s="19"/>
      <c r="M131" s="64"/>
      <c r="N131" s="64"/>
      <c r="O131" s="407"/>
      <c r="P131" s="31"/>
      <c r="Q131" s="117"/>
      <c r="R131" s="117"/>
      <c r="S131" s="117"/>
      <c r="T131" s="117"/>
    </row>
    <row r="132" spans="1:25" s="45" customFormat="1">
      <c r="A132" s="117"/>
      <c r="B132" s="54"/>
      <c r="C132" s="54"/>
      <c r="D132" s="117"/>
      <c r="E132" s="54"/>
      <c r="F132" s="54"/>
      <c r="G132" s="191"/>
      <c r="I132" s="54"/>
      <c r="J132" s="66" t="s">
        <v>23</v>
      </c>
      <c r="K132" s="64" t="str">
        <f>K126</f>
        <v>selected(data('q16204_2c'),'1') &amp;&amp; selected(data('q16206_2b'),'1') &amp;&amp; selected(data('q16206_2a'),'1') &amp;&amp; selected(data('q16202_2'),'1') &amp;&amp; selected(data('q16201'),'1')</v>
      </c>
      <c r="L132" s="19"/>
      <c r="M132" s="64"/>
      <c r="N132" s="64"/>
      <c r="O132" s="407"/>
      <c r="P132" s="31"/>
      <c r="Q132" s="117"/>
      <c r="R132" s="117"/>
      <c r="S132" s="117"/>
      <c r="T132" s="117"/>
    </row>
    <row r="133" spans="1:25" s="45" customFormat="1" ht="255">
      <c r="A133" s="117"/>
      <c r="B133" s="175"/>
      <c r="C133" s="175"/>
      <c r="D133" s="117"/>
      <c r="I133" s="54"/>
      <c r="J133" s="176"/>
      <c r="K133" s="54"/>
      <c r="L133" s="174" t="s">
        <v>413</v>
      </c>
      <c r="M133" s="174" t="str">
        <f>CONCATENATE(M127,"_line_",N127)</f>
        <v>roster_line_q16205_2c</v>
      </c>
      <c r="N133" s="174" t="str">
        <f>CONCATENATE(N127,"_1")</f>
        <v>q16205_2c_1</v>
      </c>
      <c r="O133" s="312"/>
      <c r="P133" s="117"/>
      <c r="Q133" s="117"/>
      <c r="R133" s="117"/>
      <c r="S133" s="117" t="str">
        <f>S127</f>
        <v>selected(data('q16204_2c'),'1') &amp;&amp; selected(data('q16206_2b'),'1') &amp;&amp; selected(data('q16206_2a'),'1') &amp;&amp; selected(data('q16202_2'),'1') &amp;&amp; selected(data('q16201'),'1') &amp;&amp; data('valid_overall') == 1</v>
      </c>
      <c r="T133" s="117"/>
      <c r="V133" s="31" t="str">
        <f>CONCATENATE(" (((data('",N102,"') != data('",N118,"')) || selected(data('",N104,"'), '2')   || selected(data('",N94,"'), '2')  || selected(data('",N109,"'), '2')) &amp;&amp; ((data('",N118,"') != data('",N133,"'))  || selected(data('",N104,"'), '2') || selected(data('",N120,"'), '2')   || selected(data('",N109,"'), '2')  || selected(data('",N124,"'), '2'))   &amp;&amp; ((data('",N102,"') != data('",N133,"'))  || selected(data('",N104,"'), '2')|| selected(data('",N124,"'), '2')   || selected(data('",N94,"'), '2')  || selected(data('",N124,"'), '2'))  )  || selected(data('",N90,"'), '2') || selected(data('",$N$6,"'),'2') || data('valid_overall') == 0")</f>
        <v xml:space="preserve"> (((data('q16205_2a_1') != data('q16205_2b_1')) || selected(data('q16206_2a'), '2')   || selected(data('q16204_2a'), '2')  || selected(data('q16204_2b'), '2')) &amp;&amp; ((data('q16205_2b_1') != data('q16205_2c_1'))  || selected(data('q16206_2a'), '2') || selected(data('q16206_2b'), '2')   || selected(data('q16204_2b'), '2')  || selected(data('q16204_2c'), '2'))   &amp;&amp; ((data('q16205_2a_1') != data('q16205_2c_1'))  || selected(data('q16206_2a'), '2')|| selected(data('q16204_2c'), '2')   || selected(data('q16204_2a'), '2')  || selected(data('q16204_2c'), '2'))  )  || selected(data('q16202_2'), '2') || selected(data('q16201'),'2') || data('valid_overall') == 0</v>
      </c>
      <c r="W133" s="31" t="s">
        <v>1033</v>
      </c>
      <c r="X133" s="31" t="s">
        <v>555</v>
      </c>
      <c r="Y133" s="45" t="b">
        <v>1</v>
      </c>
    </row>
    <row r="134" spans="1:25" s="45" customFormat="1">
      <c r="A134" s="117"/>
      <c r="B134" s="54"/>
      <c r="C134" s="54"/>
      <c r="D134" s="117"/>
      <c r="E134" s="54"/>
      <c r="F134" s="54"/>
      <c r="G134" s="191"/>
      <c r="I134" s="54"/>
      <c r="J134" s="66" t="s">
        <v>24</v>
      </c>
      <c r="K134" s="64"/>
      <c r="L134" s="19"/>
      <c r="M134" s="64"/>
      <c r="N134" s="64"/>
      <c r="O134" s="407"/>
      <c r="P134" s="31"/>
      <c r="Q134" s="117"/>
      <c r="R134" s="117"/>
      <c r="S134" s="117"/>
      <c r="T134" s="117"/>
    </row>
    <row r="135" spans="1:25" s="45" customFormat="1" ht="60">
      <c r="A135" s="117"/>
      <c r="B135" s="117"/>
      <c r="C135" s="117"/>
      <c r="D135" s="117"/>
      <c r="E135" s="118"/>
      <c r="F135" s="118"/>
      <c r="G135" s="191"/>
      <c r="I135" s="54"/>
      <c r="J135" s="192"/>
      <c r="L135" s="54" t="s">
        <v>18</v>
      </c>
      <c r="M135" s="45" t="s">
        <v>17</v>
      </c>
      <c r="N135" s="45" t="str">
        <f>CONCATENATE("q",$I$18, "_",$I$25)</f>
        <v>q16207_2</v>
      </c>
      <c r="O135" s="312" t="str">
        <f>CONCATENATE(N135, ". ", SUBSTITUTE($E$18, "]الحيوانات[",$E$25))</f>
        <v>q16207_2. خلال الـ12 شهر الماضية، هل قمت استهلكت أي من الطيور والدواجن؟</v>
      </c>
      <c r="P135" s="117" t="str">
        <f>CONCATENATE(N135, ". ", SUBSTITUTE($B$18, "[animal]",$B$25))</f>
        <v>q16207_2. During the past 12 months have you consumed any of the  Poultry?</v>
      </c>
      <c r="Q135" s="117"/>
      <c r="R135" s="117"/>
      <c r="S135" s="31" t="str">
        <f>CONCATENATE($K92, " &amp;&amp; ", $S$6)</f>
        <v>selected(data('q16202_2'),'1') &amp;&amp; selected(data('q16201'),'1') &amp;&amp; data('valid_overall') == 1</v>
      </c>
      <c r="T135" s="117"/>
      <c r="Y135" s="45" t="b">
        <v>1</v>
      </c>
    </row>
    <row r="136" spans="1:25" s="45" customFormat="1">
      <c r="A136" s="117"/>
      <c r="B136" s="117"/>
      <c r="C136" s="117"/>
      <c r="D136" s="117"/>
      <c r="E136" s="118"/>
      <c r="F136" s="118"/>
      <c r="G136" s="191"/>
      <c r="I136" s="54"/>
      <c r="J136" s="44" t="s">
        <v>21</v>
      </c>
      <c r="L136" s="54"/>
      <c r="O136" s="312"/>
      <c r="P136" s="117"/>
      <c r="Q136" s="117"/>
      <c r="R136" s="117"/>
      <c r="S136" s="31"/>
      <c r="T136" s="117"/>
    </row>
    <row r="137" spans="1:25" s="45" customFormat="1" ht="45">
      <c r="A137" s="117"/>
      <c r="B137" s="117"/>
      <c r="C137" s="117"/>
      <c r="D137" s="117"/>
      <c r="E137" s="118"/>
      <c r="F137" s="118"/>
      <c r="G137" s="191"/>
      <c r="I137" s="54"/>
      <c r="J137" s="192"/>
      <c r="L137" s="54" t="s">
        <v>18</v>
      </c>
      <c r="M137" s="45" t="s">
        <v>17</v>
      </c>
      <c r="N137" s="45" t="str">
        <f>CONCATENATE("q",$I$19, "_",$I$25)</f>
        <v>q16208_2</v>
      </c>
      <c r="O137" s="312" t="str">
        <f>CONCATENATE(N137, ". ", SUBSTITUTE($E$19, "]الحيوانات[",$E$25))</f>
        <v>q16208_2. خلال الـ12 شهر الماضية، هل قمت ببيع أي من الطيور والدواجن؟</v>
      </c>
      <c r="P137" s="117" t="str">
        <f>CONCATENATE(N137, ". ", SUBSTITUTE($B$19, "[animal]",$B$25))</f>
        <v>q16208_2. During the past 12 months have you sold any of the  Poultry?</v>
      </c>
      <c r="Q137" s="117"/>
      <c r="R137" s="117"/>
      <c r="S137" s="31" t="str">
        <f>CONCATENATE($K92, " &amp;&amp; ", $S$6)</f>
        <v>selected(data('q16202_2'),'1') &amp;&amp; selected(data('q16201'),'1') &amp;&amp; data('valid_overall') == 1</v>
      </c>
      <c r="T137" s="117"/>
      <c r="Y137" s="45" t="b">
        <v>1</v>
      </c>
    </row>
    <row r="138" spans="1:25" s="45" customFormat="1">
      <c r="A138" s="117"/>
      <c r="B138" s="117"/>
      <c r="C138" s="117"/>
      <c r="D138" s="117"/>
      <c r="E138" s="118"/>
      <c r="F138" s="118"/>
      <c r="G138" s="191"/>
      <c r="I138" s="54"/>
      <c r="J138" s="178" t="s">
        <v>24</v>
      </c>
      <c r="L138" s="54"/>
      <c r="O138" s="312"/>
      <c r="P138" s="117"/>
      <c r="Q138" s="117"/>
      <c r="R138" s="117"/>
      <c r="S138" s="31"/>
      <c r="T138" s="117"/>
    </row>
    <row r="139" spans="1:25" s="45" customFormat="1">
      <c r="B139" s="117"/>
      <c r="C139" s="117"/>
      <c r="D139" s="54"/>
      <c r="E139" s="117"/>
      <c r="F139" s="117"/>
      <c r="G139" s="54"/>
      <c r="H139" s="191"/>
      <c r="I139" s="54"/>
      <c r="J139" s="178" t="s">
        <v>23</v>
      </c>
      <c r="K139" s="45" t="str">
        <f>CONCATENATE("selected(data('",N137,"'),'1') &amp;&amp; ",K130)</f>
        <v>selected(data('q16208_2'),'1') &amp;&amp; selected(data('q16202_2'),'1') &amp;&amp; selected(data('q16201'),'1')</v>
      </c>
      <c r="L139" s="54"/>
      <c r="O139" s="312"/>
      <c r="P139" s="117"/>
      <c r="Q139" s="117"/>
      <c r="R139" s="117"/>
      <c r="S139" s="117"/>
      <c r="T139" s="117"/>
    </row>
    <row r="140" spans="1:25" s="45" customFormat="1" ht="60">
      <c r="B140" s="117"/>
      <c r="C140" s="117"/>
      <c r="D140" s="54"/>
      <c r="E140" s="117"/>
      <c r="F140" s="117"/>
      <c r="G140" s="54"/>
      <c r="H140" s="191"/>
      <c r="I140" s="54"/>
      <c r="J140" s="193"/>
      <c r="L140" s="54" t="s">
        <v>19</v>
      </c>
      <c r="N140" s="45" t="str">
        <f>CONCATENATE("q",$I$20, "_",$I$25)</f>
        <v>q16209_2</v>
      </c>
      <c r="O140" s="312" t="str">
        <f>CONCATENATE(N140, ". ", SUBSTITUTE($E$20,  "]الحيوانات[",$E$25))</f>
        <v>q16209_2. كم عدد الطيور والدواجن  الذى تم بيعه؟</v>
      </c>
      <c r="P140" s="190" t="str">
        <f>CONCATENATE(N140, ". ", SUBSTITUTE($B$20, "[animal]",$B$25))</f>
        <v>q16209_2. How many  Poultry have been sold?</v>
      </c>
      <c r="Q140" s="31" t="str">
        <f>$F$20</f>
        <v xml:space="preserve"> في حالة لا أعرف سجل  98</v>
      </c>
      <c r="R140" s="31" t="str">
        <f>$C$20</f>
        <v>*If don't know, write 98</v>
      </c>
      <c r="S140" s="31" t="str">
        <f>CONCATENATE($K139," &amp;&amp; ", $S$6)</f>
        <v>selected(data('q16208_2'),'1') &amp;&amp; selected(data('q16202_2'),'1') &amp;&amp; selected(data('q16201'),'1') &amp;&amp; data('valid_overall') == 1</v>
      </c>
      <c r="T140" s="31"/>
      <c r="Y140" s="45" t="b">
        <v>1</v>
      </c>
    </row>
    <row r="141" spans="1:25" s="45" customFormat="1" ht="60">
      <c r="B141" s="117"/>
      <c r="C141" s="117"/>
      <c r="D141" s="54"/>
      <c r="E141" s="117"/>
      <c r="F141" s="117"/>
      <c r="G141" s="54"/>
      <c r="H141" s="191"/>
      <c r="I141" s="54"/>
      <c r="J141" s="193"/>
      <c r="L141" s="54" t="s">
        <v>19</v>
      </c>
      <c r="N141" s="45" t="str">
        <f>CONCATENATE("q",$I$21, "_",$I$25)</f>
        <v>q16210_2</v>
      </c>
      <c r="O141" s="312" t="str">
        <f>CONCATENATE(N141, ". ", SUBSTITUTE($E$21,  "]الحيوانات[",$E$25))</f>
        <v xml:space="preserve">q16210_2. ما  قيمة البيع الإجمالية من الطيور والدواجن  ؟ (بالجنيه)
</v>
      </c>
      <c r="P141" s="190" t="str">
        <f>CONCATENATE(N141, ". ", SUBSTITUTE($B$21, "[animal]",$B$25))</f>
        <v>q16210_2. What was the total value of the sales of  Poultry ? (in pounds)</v>
      </c>
      <c r="Q141" s="31" t="str">
        <f>$F$21</f>
        <v>في حالة لا أعرف سجل 999998</v>
      </c>
      <c r="R141" s="31" t="str">
        <f>$C$21</f>
        <v xml:space="preserve"> *If don't know, write 999998</v>
      </c>
      <c r="S141" s="31" t="str">
        <f>CONCATENATE($K139," &amp;&amp; ", $S$6)</f>
        <v>selected(data('q16208_2'),'1') &amp;&amp; selected(data('q16202_2'),'1') &amp;&amp; selected(data('q16201'),'1') &amp;&amp; data('valid_overall') == 1</v>
      </c>
      <c r="T141" s="31"/>
      <c r="Y141" s="45" t="b">
        <v>1</v>
      </c>
    </row>
    <row r="142" spans="1:25" s="45" customFormat="1">
      <c r="B142" s="117"/>
      <c r="C142" s="117"/>
      <c r="E142" s="117"/>
      <c r="F142" s="117"/>
      <c r="H142" s="191"/>
      <c r="I142" s="54"/>
      <c r="J142" s="178" t="s">
        <v>42</v>
      </c>
      <c r="L142" s="54"/>
      <c r="O142" s="312"/>
      <c r="P142" s="117"/>
      <c r="Q142" s="117"/>
      <c r="R142" s="117"/>
      <c r="S142" s="117"/>
      <c r="T142" s="117"/>
    </row>
    <row r="143" spans="1:25" s="459" customFormat="1">
      <c r="B143" s="460"/>
      <c r="C143" s="460"/>
      <c r="E143" s="460"/>
      <c r="F143" s="460"/>
      <c r="H143" s="461"/>
      <c r="I143" s="462"/>
      <c r="J143" s="463"/>
      <c r="L143" s="462"/>
      <c r="O143" s="464"/>
      <c r="P143" s="460"/>
      <c r="Q143" s="460"/>
      <c r="R143" s="460"/>
      <c r="S143" s="460"/>
      <c r="T143" s="460"/>
    </row>
    <row r="144" spans="1:25" s="31" customFormat="1">
      <c r="I144" s="19"/>
      <c r="J144" s="88" t="s">
        <v>23</v>
      </c>
      <c r="K144" s="64" t="str">
        <f>CONCATENATE("selected(data('",$N$6,"'),'1')")</f>
        <v>selected(data('q16201'),'1')</v>
      </c>
      <c r="O144" s="407"/>
    </row>
    <row r="145" spans="1:25" s="45" customFormat="1" ht="60">
      <c r="B145" s="117"/>
      <c r="C145" s="117"/>
      <c r="D145" s="117"/>
      <c r="E145" s="117"/>
      <c r="F145" s="117"/>
      <c r="G145" s="118"/>
      <c r="I145" s="54"/>
      <c r="L145" s="54" t="s">
        <v>18</v>
      </c>
      <c r="M145" s="45" t="s">
        <v>17</v>
      </c>
      <c r="N145" s="45" t="str">
        <f>CONCATENATE("q",$I$8, "_",$I$26)</f>
        <v>q16202_3</v>
      </c>
      <c r="O145" s="312" t="str">
        <f>CONCATENATE(SUBSTITUTE(N145, "q",""), ". ", SUBSTITUTE($E$8, "]الحيوانات[",$E$26))</f>
        <v>16202_3. هل تمتلك الأسرة أو أي من أفرادها أي الماعز؟</v>
      </c>
      <c r="P145" s="190" t="str">
        <f>CONCATENATE(N145, ". ", SUBSTITUTE($B$8, "[animal]",$B$26))</f>
        <v>q16202_3. Does any member of your household currently have any  Goats?</v>
      </c>
      <c r="Q145" s="117"/>
      <c r="R145" s="117"/>
      <c r="S145" s="117" t="str">
        <f>CONCATENATE($K144, " &amp;&amp; ", $S$6)</f>
        <v>selected(data('q16201'),'1') &amp;&amp; data('valid_overall') == 1</v>
      </c>
      <c r="T145" s="117"/>
      <c r="W145" s="117"/>
      <c r="X145" s="117"/>
      <c r="Y145" s="45" t="b">
        <v>1</v>
      </c>
    </row>
    <row r="146" spans="1:25" s="45" customFormat="1">
      <c r="B146" s="117"/>
      <c r="C146" s="117"/>
      <c r="D146" s="117"/>
      <c r="E146" s="117"/>
      <c r="F146" s="117"/>
      <c r="G146" s="118"/>
      <c r="I146" s="54"/>
      <c r="J146" s="178" t="s">
        <v>24</v>
      </c>
      <c r="L146" s="54"/>
      <c r="O146" s="312"/>
      <c r="P146" s="190"/>
      <c r="Q146" s="117"/>
      <c r="R146" s="117"/>
      <c r="S146" s="117"/>
      <c r="T146" s="117"/>
      <c r="W146" s="117"/>
      <c r="X146" s="117"/>
    </row>
    <row r="147" spans="1:25" s="45" customFormat="1">
      <c r="I147" s="15"/>
      <c r="J147" s="178" t="s">
        <v>23</v>
      </c>
      <c r="K147" s="45" t="str">
        <f>CONCATENATE("selected(data('",N145,"'),'1') &amp;&amp; ", K144)</f>
        <v>selected(data('q16202_3'),'1') &amp;&amp; selected(data('q16201'),'1')</v>
      </c>
      <c r="L147" s="54"/>
      <c r="O147" s="312"/>
      <c r="P147" s="117"/>
      <c r="Q147" s="117"/>
      <c r="R147" s="117"/>
      <c r="S147" s="117"/>
      <c r="T147" s="117"/>
    </row>
    <row r="148" spans="1:25" s="45" customFormat="1" ht="60">
      <c r="B148" s="117"/>
      <c r="C148" s="117"/>
      <c r="D148" s="54"/>
      <c r="E148" s="117"/>
      <c r="F148" s="117"/>
      <c r="G148" s="54"/>
      <c r="H148" s="191"/>
      <c r="I148" s="54"/>
      <c r="J148" s="178"/>
      <c r="L148" s="54" t="s">
        <v>19</v>
      </c>
      <c r="N148" s="45" t="str">
        <f>CONCATENATE("q",$I$9, "_",$I$26)</f>
        <v>q16203_3</v>
      </c>
      <c r="O148" s="312" t="str">
        <f>CONCATENATE(SUBSTITUTE(N148, "q",""), ". ", SUBSTITUTE($E$9, "]الحيوانات[",$E$26))</f>
        <v>16203_3. كم عدد الماعز التي تملكها الأسرة خلص أو مشاركة؟</v>
      </c>
      <c r="P148" s="117" t="str">
        <f>CONCATENATE(N148, ". ", SUBSTITUTE($B$9, "[animal]",$B$26))</f>
        <v>q16203_3. How many   Goats does your household currently own entirely or with sharing?</v>
      </c>
      <c r="Q148" s="117"/>
      <c r="R148" s="117"/>
      <c r="S148" s="31" t="str">
        <f>CONCATENATE($K147, " &amp;&amp; ", $S$6)</f>
        <v>selected(data('q16202_3'),'1') &amp;&amp; selected(data('q16201'),'1') &amp;&amp; data('valid_overall') == 1</v>
      </c>
      <c r="T148" s="117"/>
      <c r="Y148" s="45" t="b">
        <v>1</v>
      </c>
    </row>
    <row r="149" spans="1:25" s="45" customFormat="1" ht="60">
      <c r="B149" s="117"/>
      <c r="C149" s="117"/>
      <c r="D149" s="117"/>
      <c r="E149" s="117"/>
      <c r="F149" s="117"/>
      <c r="G149" s="54"/>
      <c r="H149" s="191"/>
      <c r="I149" s="54"/>
      <c r="J149" s="159"/>
      <c r="K149" s="19"/>
      <c r="L149" s="54" t="s">
        <v>18</v>
      </c>
      <c r="M149" s="19" t="s">
        <v>17</v>
      </c>
      <c r="N149" s="54" t="str">
        <f>CONCATENATE("q",$I$10, "_",$I$26,"a")</f>
        <v>q16204_3a</v>
      </c>
      <c r="O149" s="312" t="str">
        <f>CONCATENATE(SUBSTITUTE(N149, "q",""), ". ", SUBSTITUTE($E$10, "]الحيوانات[",$E$26))</f>
        <v>16204_3a. هل الشخص الرئيسي الذي يرعى الماعز هو أحد أفراد الأسرة؟</v>
      </c>
      <c r="P149" s="117" t="str">
        <f>CONCATENATE(N149, ". ", SUBSTITUTE($B$10, "[animal]",$B$26))</f>
        <v>q16204_3a. Is the primary person who takes care of the  Goats a member of the household?</v>
      </c>
      <c r="Q149" s="117"/>
      <c r="R149" s="117"/>
      <c r="S149" s="31" t="str">
        <f>CONCATENATE($K147, " &amp;&amp; ", $S$6)</f>
        <v>selected(data('q16202_3'),'1') &amp;&amp; selected(data('q16201'),'1') &amp;&amp; data('valid_overall') == 1</v>
      </c>
      <c r="T149" s="117"/>
      <c r="Y149" s="45" t="b">
        <v>1</v>
      </c>
    </row>
    <row r="150" spans="1:25" s="45" customFormat="1">
      <c r="B150" s="117"/>
      <c r="C150" s="117"/>
      <c r="D150" s="117"/>
      <c r="E150" s="117"/>
      <c r="F150" s="117"/>
      <c r="G150" s="54"/>
      <c r="H150" s="191"/>
      <c r="I150" s="54"/>
      <c r="J150" s="88" t="s">
        <v>24</v>
      </c>
      <c r="K150" s="19"/>
      <c r="L150" s="54"/>
      <c r="M150" s="19"/>
      <c r="N150" s="54"/>
      <c r="O150" s="312"/>
      <c r="P150" s="117"/>
      <c r="Q150" s="117"/>
      <c r="R150" s="117"/>
      <c r="S150" s="31"/>
      <c r="T150" s="117"/>
    </row>
    <row r="151" spans="1:25" s="45" customFormat="1">
      <c r="B151" s="117"/>
      <c r="C151" s="117"/>
      <c r="D151" s="117"/>
      <c r="E151" s="117"/>
      <c r="F151" s="117"/>
      <c r="G151" s="54"/>
      <c r="H151" s="191"/>
      <c r="I151" s="54"/>
      <c r="J151" s="178" t="s">
        <v>23</v>
      </c>
      <c r="K151" s="44" t="str">
        <f>CONCATENATE("selected(data('",N149,"'),'1') &amp;&amp; ", K147)</f>
        <v>selected(data('q16204_3a'),'1') &amp;&amp; selected(data('q16202_3'),'1') &amp;&amp; selected(data('q16201'),'1')</v>
      </c>
      <c r="L151" s="54"/>
      <c r="M151" s="19"/>
      <c r="N151" s="54"/>
      <c r="O151" s="312"/>
      <c r="P151" s="117"/>
      <c r="Q151" s="117"/>
      <c r="R151" s="117"/>
      <c r="S151" s="117"/>
      <c r="T151" s="117"/>
    </row>
    <row r="152" spans="1:25" s="45" customFormat="1" ht="60">
      <c r="A152" s="117"/>
      <c r="B152" s="54"/>
      <c r="C152" s="54"/>
      <c r="D152" s="117"/>
      <c r="E152" s="54"/>
      <c r="F152" s="54"/>
      <c r="G152" s="191"/>
      <c r="I152" s="54"/>
      <c r="J152" s="159"/>
      <c r="K152" s="19"/>
      <c r="L152" s="19" t="s">
        <v>174</v>
      </c>
      <c r="M152" s="19" t="s">
        <v>206</v>
      </c>
      <c r="N152" s="54" t="str">
        <f>CONCATENATE("q",$I$11, "_",$I$26,"a")</f>
        <v>q16205_3a</v>
      </c>
      <c r="O152" s="312" t="str">
        <f>CONCATENATE(SUBSTITUTE(N152, "q",""),, ". ", SUBSTITUTE($E$11, "]الحيوانات[",$E$26))</f>
        <v>16205_3a. من الشخص المسؤول عن رعاية الماعز في الأسرة؟ أول فرد</v>
      </c>
      <c r="P152" s="117" t="str">
        <f>CONCATENATE(N152, ". ", SUBSTITUTE($B$11, "[animal]",$B$26))</f>
        <v>q16205_3a. Who is the primary person who takes care of the  Goats? First member</v>
      </c>
      <c r="Q152" s="117"/>
      <c r="R152" s="117"/>
      <c r="S152" s="31" t="str">
        <f>CONCATENATE($K151, " &amp;&amp; ", $S$6)</f>
        <v>selected(data('q16204_3a'),'1') &amp;&amp; selected(data('q16202_3'),'1') &amp;&amp; selected(data('q16201'),'1') &amp;&amp; data('valid_overall') == 1</v>
      </c>
      <c r="T152" s="117"/>
      <c r="Y152" s="45" t="b">
        <v>1</v>
      </c>
    </row>
    <row r="153" spans="1:25" s="45" customFormat="1">
      <c r="A153" s="117"/>
      <c r="B153" s="54"/>
      <c r="C153" s="54"/>
      <c r="D153" s="117"/>
      <c r="E153" s="54"/>
      <c r="F153" s="54"/>
      <c r="G153" s="191"/>
      <c r="I153" s="54"/>
      <c r="J153" s="178" t="s">
        <v>24</v>
      </c>
      <c r="K153" s="19"/>
      <c r="L153" s="19"/>
      <c r="M153" s="19"/>
      <c r="N153" s="54"/>
      <c r="O153" s="312"/>
      <c r="P153" s="117"/>
      <c r="Q153" s="117"/>
      <c r="R153" s="117"/>
      <c r="S153" s="31"/>
      <c r="T153" s="117"/>
    </row>
    <row r="154" spans="1:25" s="45" customFormat="1">
      <c r="A154" s="117"/>
      <c r="B154" s="175"/>
      <c r="C154" s="175"/>
      <c r="D154" s="117"/>
      <c r="I154" s="54"/>
      <c r="J154" s="178" t="s">
        <v>23</v>
      </c>
      <c r="K154" s="54" t="str">
        <f>K147</f>
        <v>selected(data('q16202_3'),'1') &amp;&amp; selected(data('q16201'),'1')</v>
      </c>
      <c r="L154" s="174"/>
      <c r="M154" s="174"/>
      <c r="N154" s="174"/>
      <c r="O154" s="312"/>
      <c r="P154" s="117"/>
      <c r="Q154" s="117"/>
      <c r="R154" s="117"/>
      <c r="S154" s="117"/>
      <c r="T154" s="117"/>
      <c r="W154" s="117"/>
      <c r="X154" s="117"/>
    </row>
    <row r="155" spans="1:25" s="45" customFormat="1">
      <c r="A155" s="117"/>
      <c r="B155" s="175"/>
      <c r="C155" s="175"/>
      <c r="D155" s="117"/>
      <c r="I155" s="54"/>
      <c r="J155" s="44" t="s">
        <v>20</v>
      </c>
      <c r="K155" s="54"/>
      <c r="L155" s="174"/>
      <c r="M155" s="174"/>
      <c r="N155" s="174"/>
      <c r="O155" s="312"/>
      <c r="P155" s="117"/>
      <c r="Q155" s="117"/>
      <c r="R155" s="117"/>
      <c r="S155" s="117"/>
      <c r="T155" s="117"/>
      <c r="W155" s="117"/>
      <c r="X155" s="117"/>
    </row>
    <row r="156" spans="1:25" s="45" customFormat="1">
      <c r="A156" s="117"/>
      <c r="B156" s="175"/>
      <c r="C156" s="175"/>
      <c r="D156" s="117"/>
      <c r="I156" s="54"/>
      <c r="J156" s="176" t="s">
        <v>23</v>
      </c>
      <c r="K156" s="54" t="str">
        <f>K151</f>
        <v>selected(data('q16204_3a'),'1') &amp;&amp; selected(data('q16202_3'),'1') &amp;&amp; selected(data('q16201'),'1')</v>
      </c>
      <c r="L156" s="174"/>
      <c r="M156" s="174"/>
      <c r="N156" s="174"/>
      <c r="O156" s="312"/>
      <c r="P156" s="117"/>
      <c r="Q156" s="117"/>
      <c r="R156" s="117"/>
      <c r="S156" s="117"/>
      <c r="T156" s="117"/>
      <c r="W156" s="117"/>
      <c r="X156" s="117"/>
    </row>
    <row r="157" spans="1:25" s="45" customFormat="1">
      <c r="A157" s="117"/>
      <c r="B157" s="175"/>
      <c r="C157" s="175"/>
      <c r="D157" s="117"/>
      <c r="I157" s="54"/>
      <c r="K157" s="54"/>
      <c r="L157" s="174" t="s">
        <v>413</v>
      </c>
      <c r="M157" s="174" t="str">
        <f>CONCATENATE(M152,"_line_",N152)</f>
        <v>roster_line_q16205_3a</v>
      </c>
      <c r="N157" s="174" t="str">
        <f>CONCATENATE(N152,"_1")</f>
        <v>q16205_3a_1</v>
      </c>
      <c r="O157" s="312"/>
      <c r="P157" s="117"/>
      <c r="Q157" s="117"/>
      <c r="R157" s="117"/>
      <c r="S157" s="117" t="str">
        <f>S152</f>
        <v>selected(data('q16204_3a'),'1') &amp;&amp; selected(data('q16202_3'),'1') &amp;&amp; selected(data('q16201'),'1') &amp;&amp; data('valid_overall') == 1</v>
      </c>
      <c r="T157" s="117"/>
      <c r="W157" s="117"/>
      <c r="X157" s="117"/>
      <c r="Y157" s="45" t="b">
        <v>1</v>
      </c>
    </row>
    <row r="158" spans="1:25" s="45" customFormat="1">
      <c r="A158" s="117"/>
      <c r="B158" s="175"/>
      <c r="C158" s="175"/>
      <c r="D158" s="117"/>
      <c r="I158" s="54"/>
      <c r="J158" s="176" t="s">
        <v>24</v>
      </c>
      <c r="K158" s="54"/>
      <c r="L158" s="174"/>
      <c r="M158" s="174"/>
      <c r="N158" s="174"/>
      <c r="O158" s="312"/>
      <c r="P158" s="117"/>
      <c r="Q158" s="117"/>
      <c r="R158" s="117"/>
      <c r="S158" s="117"/>
      <c r="T158" s="117"/>
      <c r="W158" s="117"/>
      <c r="X158" s="117"/>
    </row>
    <row r="159" spans="1:25" s="45" customFormat="1" ht="45">
      <c r="A159" s="117"/>
      <c r="B159" s="175"/>
      <c r="C159" s="175"/>
      <c r="D159" s="117"/>
      <c r="I159" s="54"/>
      <c r="K159" s="54"/>
      <c r="L159" s="174" t="s">
        <v>18</v>
      </c>
      <c r="M159" s="19" t="s">
        <v>17</v>
      </c>
      <c r="N159" s="54" t="str">
        <f>CONCATENATE("q",$I$12, "_",$I$26,"a")</f>
        <v>q16206_3a</v>
      </c>
      <c r="O159" s="312" t="str">
        <f>CONCATENATE(SUBSTITUTE(N159, "q",""),, ". ", SUBSTITUTE($E$12, "]الحيوانات[",$E$26))</f>
        <v>16206_3a. هل هناك شخص آخر يرعى الماعز؟</v>
      </c>
      <c r="P159" s="117" t="str">
        <f>CONCATENATE(N159, ". ", SUBSTITUTE($B$12, "[animal]",$B$26))</f>
        <v>q16206_3a. Is there another person who takes care of the  Goats?</v>
      </c>
      <c r="Q159" s="117"/>
      <c r="R159" s="117"/>
      <c r="S159" s="31" t="str">
        <f>CONCATENATE($K154, " &amp;&amp; ", $S$6)</f>
        <v>selected(data('q16202_3'),'1') &amp;&amp; selected(data('q16201'),'1') &amp;&amp; data('valid_overall') == 1</v>
      </c>
      <c r="T159" s="117"/>
      <c r="W159" s="117"/>
      <c r="X159" s="117"/>
      <c r="Y159" s="45" t="b">
        <v>1</v>
      </c>
    </row>
    <row r="160" spans="1:25" s="45" customFormat="1">
      <c r="A160" s="117"/>
      <c r="B160" s="175"/>
      <c r="C160" s="175"/>
      <c r="D160" s="117"/>
      <c r="I160" s="54"/>
      <c r="J160" s="45" t="s">
        <v>21</v>
      </c>
      <c r="K160" s="54"/>
      <c r="L160" s="174"/>
      <c r="M160" s="19"/>
      <c r="N160" s="54"/>
      <c r="O160" s="312"/>
      <c r="P160" s="117"/>
      <c r="Q160" s="117"/>
      <c r="R160" s="117"/>
      <c r="S160" s="31"/>
      <c r="T160" s="117"/>
      <c r="W160" s="117"/>
      <c r="X160" s="117"/>
    </row>
    <row r="161" spans="1:25" s="45" customFormat="1">
      <c r="A161" s="117"/>
      <c r="B161" s="175"/>
      <c r="C161" s="175"/>
      <c r="D161" s="117"/>
      <c r="I161" s="54"/>
      <c r="J161" s="178" t="s">
        <v>24</v>
      </c>
      <c r="K161" s="54"/>
      <c r="L161" s="174"/>
      <c r="M161" s="19"/>
      <c r="N161" s="54"/>
      <c r="O161" s="312"/>
      <c r="P161" s="117"/>
      <c r="Q161" s="117"/>
      <c r="R161" s="117"/>
      <c r="S161" s="31"/>
      <c r="T161" s="117"/>
      <c r="W161" s="117"/>
      <c r="X161" s="117"/>
    </row>
    <row r="162" spans="1:25" s="45" customFormat="1">
      <c r="A162" s="117"/>
      <c r="B162" s="175"/>
      <c r="C162" s="175"/>
      <c r="D162" s="117"/>
      <c r="I162" s="54"/>
      <c r="J162" s="178" t="s">
        <v>23</v>
      </c>
      <c r="K162" s="44" t="str">
        <f>CONCATENATE("selected(data('",N159,"'),'1') &amp;&amp; ",K154)</f>
        <v>selected(data('q16206_3a'),'1') &amp;&amp; selected(data('q16202_3'),'1') &amp;&amp; selected(data('q16201'),'1')</v>
      </c>
      <c r="L162" s="174"/>
      <c r="M162" s="174"/>
      <c r="N162" s="54"/>
      <c r="O162" s="312"/>
      <c r="P162" s="117"/>
      <c r="Q162" s="117"/>
      <c r="R162" s="117"/>
      <c r="S162" s="117"/>
      <c r="T162" s="117"/>
      <c r="W162" s="117"/>
      <c r="X162" s="117"/>
    </row>
    <row r="163" spans="1:25" s="45" customFormat="1">
      <c r="A163" s="117"/>
      <c r="B163" s="175"/>
      <c r="C163" s="175"/>
      <c r="D163" s="117"/>
      <c r="I163" s="54"/>
      <c r="J163" s="44" t="s">
        <v>20</v>
      </c>
      <c r="K163" s="44"/>
      <c r="L163" s="174"/>
      <c r="M163" s="174"/>
      <c r="N163" s="54"/>
      <c r="O163" s="312"/>
      <c r="P163" s="117"/>
      <c r="Q163" s="117"/>
      <c r="R163" s="117"/>
      <c r="S163" s="117"/>
      <c r="T163" s="117"/>
      <c r="W163" s="117"/>
      <c r="X163" s="117"/>
    </row>
    <row r="164" spans="1:25" s="45" customFormat="1" ht="60">
      <c r="A164" s="117"/>
      <c r="B164" s="175"/>
      <c r="C164" s="175"/>
      <c r="D164" s="117"/>
      <c r="I164" s="54"/>
      <c r="K164" s="54"/>
      <c r="L164" s="174" t="s">
        <v>18</v>
      </c>
      <c r="M164" s="19" t="s">
        <v>17</v>
      </c>
      <c r="N164" s="54" t="str">
        <f>CONCATENATE("q",$I$13, "_",$I$26,"b")</f>
        <v>q16204_3b</v>
      </c>
      <c r="O164" s="312" t="str">
        <f>CONCATENATE(SUBSTITUTE(N164, "q",""),, ". ", SUBSTITUTE($E$13, "]الحيوانات[",$E$26))</f>
        <v>16204_3b. هل الشخص الثاني الذي يرعى الماعز هو أحد أفراد الأسرة؟</v>
      </c>
      <c r="P164" s="117" t="str">
        <f>CONCATENATE(N164, ". ", SUBSTITUTE($B$13, "[animal]",$B$26))</f>
        <v>q16204_3b. Is the second person who takes care of the  Goats a member of the household?</v>
      </c>
      <c r="Q164" s="117"/>
      <c r="R164" s="117"/>
      <c r="S164" s="31" t="str">
        <f>CONCATENATE($K162, " &amp;&amp; ", $S$6)</f>
        <v>selected(data('q16206_3a'),'1') &amp;&amp; selected(data('q16202_3'),'1') &amp;&amp; selected(data('q16201'),'1') &amp;&amp; data('valid_overall') == 1</v>
      </c>
      <c r="T164" s="117"/>
      <c r="W164" s="117"/>
      <c r="X164" s="117"/>
      <c r="Y164" s="45" t="b">
        <v>1</v>
      </c>
    </row>
    <row r="165" spans="1:25" s="45" customFormat="1">
      <c r="A165" s="117"/>
      <c r="B165" s="175"/>
      <c r="C165" s="175"/>
      <c r="D165" s="117"/>
      <c r="I165" s="54"/>
      <c r="J165" s="45" t="s">
        <v>21</v>
      </c>
      <c r="K165" s="54"/>
      <c r="L165" s="174"/>
      <c r="M165" s="19"/>
      <c r="N165" s="54"/>
      <c r="O165" s="312"/>
      <c r="P165" s="117"/>
      <c r="Q165" s="117"/>
      <c r="R165" s="117"/>
      <c r="S165" s="31"/>
      <c r="T165" s="117"/>
      <c r="W165" s="117"/>
      <c r="X165" s="117"/>
    </row>
    <row r="166" spans="1:25" s="45" customFormat="1">
      <c r="A166" s="117"/>
      <c r="B166" s="175"/>
      <c r="C166" s="175"/>
      <c r="D166" s="117"/>
      <c r="I166" s="54"/>
      <c r="J166" s="178" t="s">
        <v>24</v>
      </c>
      <c r="K166" s="54"/>
      <c r="L166" s="174"/>
      <c r="M166" s="19"/>
      <c r="N166" s="54"/>
      <c r="O166" s="312"/>
      <c r="P166" s="117"/>
      <c r="Q166" s="117"/>
      <c r="R166" s="117"/>
      <c r="S166" s="31"/>
      <c r="T166" s="117"/>
      <c r="W166" s="117"/>
      <c r="X166" s="117"/>
    </row>
    <row r="167" spans="1:25" s="45" customFormat="1">
      <c r="A167" s="117"/>
      <c r="B167" s="175"/>
      <c r="C167" s="175"/>
      <c r="D167" s="117"/>
      <c r="I167" s="54"/>
      <c r="J167" s="178" t="s">
        <v>23</v>
      </c>
      <c r="K167" s="44" t="str">
        <f>CONCATENATE("selected(data('",N164,"'),'1') &amp;&amp;", K162)</f>
        <v>selected(data('q16204_3b'),'1') &amp;&amp;selected(data('q16206_3a'),'1') &amp;&amp; selected(data('q16202_3'),'1') &amp;&amp; selected(data('q16201'),'1')</v>
      </c>
      <c r="L167" s="174"/>
      <c r="M167" s="174"/>
      <c r="N167" s="54"/>
      <c r="O167" s="312"/>
      <c r="P167" s="117"/>
      <c r="Q167" s="117"/>
      <c r="R167" s="117"/>
      <c r="S167" s="117"/>
      <c r="T167" s="117"/>
      <c r="W167" s="117"/>
      <c r="X167" s="117"/>
    </row>
    <row r="168" spans="1:25" s="45" customFormat="1" ht="75">
      <c r="A168" s="117"/>
      <c r="B168" s="54"/>
      <c r="C168" s="54"/>
      <c r="D168" s="117"/>
      <c r="E168" s="54"/>
      <c r="F168" s="54"/>
      <c r="G168" s="191"/>
      <c r="I168" s="54"/>
      <c r="J168" s="159"/>
      <c r="K168" s="19"/>
      <c r="L168" s="19" t="s">
        <v>174</v>
      </c>
      <c r="M168" s="19" t="s">
        <v>206</v>
      </c>
      <c r="N168" s="54" t="str">
        <f>CONCATENATE("q",$I$14, "_",$I$26,"b")</f>
        <v>q16205_3b</v>
      </c>
      <c r="O168" s="312" t="str">
        <f>CONCATENATE(SUBSTITUTE(N168, "q",""), ". ", SUBSTITUTE($E$14, "]الحيوانات[",$E$26))</f>
        <v xml:space="preserve">16205_3b. من الشخص المسؤول عن رعاية الماعز في الأسرة؟ الفرد الثاني </v>
      </c>
      <c r="P168" s="117" t="str">
        <f>CONCATENATE(N168, ". ", SUBSTITUTE($B$14, "[animal]",$B$26))</f>
        <v>q16205_3b. Who is the person who takes care of the  Goats? Second member</v>
      </c>
      <c r="Q168" s="117"/>
      <c r="R168" s="117"/>
      <c r="S168" s="31" t="str">
        <f>CONCATENATE($K167, " &amp;&amp; ", $S$6)</f>
        <v>selected(data('q16204_3b'),'1') &amp;&amp;selected(data('q16206_3a'),'1') &amp;&amp; selected(data('q16202_3'),'1') &amp;&amp; selected(data('q16201'),'1') &amp;&amp; data('valid_overall') == 1</v>
      </c>
      <c r="T168" s="117"/>
      <c r="Y168" s="45" t="b">
        <v>1</v>
      </c>
    </row>
    <row r="169" spans="1:25" s="45" customFormat="1">
      <c r="A169" s="117"/>
      <c r="B169" s="54"/>
      <c r="C169" s="54"/>
      <c r="D169" s="117"/>
      <c r="E169" s="54"/>
      <c r="F169" s="54"/>
      <c r="G169" s="191"/>
      <c r="I169" s="54"/>
      <c r="J169" s="88" t="s">
        <v>24</v>
      </c>
      <c r="K169" s="19"/>
      <c r="L169" s="19"/>
      <c r="M169" s="19"/>
      <c r="N169" s="54"/>
      <c r="O169" s="312"/>
      <c r="P169" s="117"/>
      <c r="Q169" s="117"/>
      <c r="R169" s="117"/>
      <c r="S169" s="31"/>
      <c r="T169" s="117"/>
      <c r="V169" s="31"/>
      <c r="W169" s="31"/>
      <c r="X169" s="31"/>
    </row>
    <row r="170" spans="1:25" s="45" customFormat="1">
      <c r="A170" s="117"/>
      <c r="B170" s="175"/>
      <c r="C170" s="175"/>
      <c r="D170" s="117"/>
      <c r="I170" s="54"/>
      <c r="J170" s="178" t="s">
        <v>23</v>
      </c>
      <c r="K170" s="54" t="str">
        <f>K162</f>
        <v>selected(data('q16206_3a'),'1') &amp;&amp; selected(data('q16202_3'),'1') &amp;&amp; selected(data('q16201'),'1')</v>
      </c>
      <c r="L170" s="174"/>
      <c r="M170" s="174"/>
      <c r="N170" s="174"/>
      <c r="O170" s="312"/>
      <c r="P170" s="117"/>
      <c r="Q170" s="117"/>
      <c r="R170" s="117"/>
      <c r="S170" s="117"/>
      <c r="T170" s="117"/>
      <c r="W170" s="117"/>
      <c r="X170" s="117"/>
    </row>
    <row r="171" spans="1:25" s="45" customFormat="1">
      <c r="A171" s="117"/>
      <c r="B171" s="175"/>
      <c r="C171" s="175"/>
      <c r="D171" s="117"/>
      <c r="I171" s="54"/>
      <c r="J171" s="44" t="s">
        <v>20</v>
      </c>
      <c r="K171" s="54"/>
      <c r="L171" s="174"/>
      <c r="M171" s="174"/>
      <c r="N171" s="174"/>
      <c r="O171" s="312"/>
      <c r="P171" s="117"/>
      <c r="Q171" s="117"/>
      <c r="R171" s="117"/>
      <c r="S171" s="117"/>
      <c r="T171" s="117"/>
      <c r="W171" s="117"/>
      <c r="X171" s="117"/>
    </row>
    <row r="172" spans="1:25" s="45" customFormat="1">
      <c r="A172" s="117"/>
      <c r="B172" s="175"/>
      <c r="C172" s="175"/>
      <c r="D172" s="117"/>
      <c r="I172" s="54"/>
      <c r="J172" s="176" t="s">
        <v>23</v>
      </c>
      <c r="K172" s="54" t="str">
        <f>K167</f>
        <v>selected(data('q16204_3b'),'1') &amp;&amp;selected(data('q16206_3a'),'1') &amp;&amp; selected(data('q16202_3'),'1') &amp;&amp; selected(data('q16201'),'1')</v>
      </c>
      <c r="L172" s="174"/>
      <c r="M172" s="174"/>
      <c r="N172" s="174"/>
      <c r="O172" s="312"/>
      <c r="P172" s="117"/>
      <c r="Q172" s="117"/>
      <c r="R172" s="117"/>
      <c r="S172" s="117"/>
      <c r="T172" s="117"/>
      <c r="W172" s="117"/>
      <c r="X172" s="117"/>
    </row>
    <row r="173" spans="1:25" s="45" customFormat="1" ht="105">
      <c r="A173" s="117"/>
      <c r="B173" s="175"/>
      <c r="C173" s="175"/>
      <c r="D173" s="117"/>
      <c r="I173" s="54"/>
      <c r="J173" s="44"/>
      <c r="K173" s="54"/>
      <c r="L173" s="174" t="s">
        <v>413</v>
      </c>
      <c r="M173" s="174" t="str">
        <f>CONCATENATE(M168,"_line_",N168)</f>
        <v>roster_line_q16205_3b</v>
      </c>
      <c r="N173" s="174" t="str">
        <f>CONCATENATE(N168,"_1")</f>
        <v>q16205_3b_1</v>
      </c>
      <c r="O173" s="312"/>
      <c r="P173" s="117"/>
      <c r="Q173" s="117"/>
      <c r="R173" s="117"/>
      <c r="S173" s="117" t="str">
        <f>S168</f>
        <v>selected(data('q16204_3b'),'1') &amp;&amp;selected(data('q16206_3a'),'1') &amp;&amp; selected(data('q16202_3'),'1') &amp;&amp; selected(data('q16201'),'1') &amp;&amp; data('valid_overall') == 1</v>
      </c>
      <c r="T173" s="117"/>
      <c r="V173" s="31" t="str">
        <f>CONCATENATE("(data('",N157,"') != data('",N173,"')) || selected(data('",N159,"'), '2')   || selected(data('",N149,"'), '2')  || selected(data('",N164,"'), '2')  || selected(data('",N145,"'), '2') || selected(data('",$N$6,"'),'2') || data('valid_overall') == 0")</f>
        <v>(data('q16205_3a_1') != data('q16205_3b_1')) || selected(data('q16206_3a'), '2')   || selected(data('q16204_3a'), '2')  || selected(data('q16204_3b'), '2')  || selected(data('q16202_3'), '2') || selected(data('q16201'),'2') || data('valid_overall') == 0</v>
      </c>
      <c r="W173" s="31" t="s">
        <v>1033</v>
      </c>
      <c r="X173" s="31" t="s">
        <v>555</v>
      </c>
      <c r="Y173" s="45" t="b">
        <v>1</v>
      </c>
    </row>
    <row r="174" spans="1:25" s="45" customFormat="1">
      <c r="A174" s="117"/>
      <c r="B174" s="175"/>
      <c r="C174" s="175"/>
      <c r="D174" s="117"/>
      <c r="I174" s="54"/>
      <c r="J174" s="176" t="s">
        <v>24</v>
      </c>
      <c r="K174" s="54"/>
      <c r="L174" s="174"/>
      <c r="M174" s="174"/>
      <c r="N174" s="174"/>
      <c r="O174" s="312"/>
      <c r="P174" s="117"/>
      <c r="Q174" s="117"/>
      <c r="R174" s="117"/>
      <c r="S174" s="117"/>
      <c r="T174" s="117"/>
      <c r="W174" s="117"/>
      <c r="X174" s="117"/>
    </row>
    <row r="175" spans="1:25" s="45" customFormat="1" ht="60">
      <c r="A175" s="117"/>
      <c r="B175" s="175"/>
      <c r="C175" s="175"/>
      <c r="D175" s="117"/>
      <c r="I175" s="54"/>
      <c r="K175" s="54"/>
      <c r="L175" s="174" t="s">
        <v>18</v>
      </c>
      <c r="M175" s="19" t="s">
        <v>17</v>
      </c>
      <c r="N175" s="54" t="str">
        <f>CONCATENATE("q",$I$15, "_",$I$26,"b")</f>
        <v>q16206_3b</v>
      </c>
      <c r="O175" s="312" t="str">
        <f>CONCATENATE(SUBSTITUTE(N175, "q",""),, ". ", SUBSTITUTE($E$15, "]الحيوانات[",$E$26))</f>
        <v>16206_3b. هل هناك شخص آخر يرعى الماعز؟</v>
      </c>
      <c r="P175" s="117" t="str">
        <f>CONCATENATE(N175, ". ", SUBSTITUTE($B$15, "[animal]",$B$26))</f>
        <v>q16206_3b. Is there another person who takes care of the  Goats?</v>
      </c>
      <c r="Q175" s="117"/>
      <c r="R175" s="117"/>
      <c r="S175" s="31" t="str">
        <f>CONCATENATE($K170, " &amp;&amp; ", $S$6)</f>
        <v>selected(data('q16206_3a'),'1') &amp;&amp; selected(data('q16202_3'),'1') &amp;&amp; selected(data('q16201'),'1') &amp;&amp; data('valid_overall') == 1</v>
      </c>
      <c r="T175" s="117"/>
      <c r="W175" s="117"/>
      <c r="X175" s="117"/>
      <c r="Y175" s="45" t="b">
        <v>1</v>
      </c>
    </row>
    <row r="176" spans="1:25" s="45" customFormat="1">
      <c r="A176" s="117"/>
      <c r="B176" s="175"/>
      <c r="C176" s="175"/>
      <c r="D176" s="117"/>
      <c r="I176" s="54"/>
      <c r="J176" s="45" t="s">
        <v>21</v>
      </c>
      <c r="K176" s="54"/>
      <c r="L176" s="174"/>
      <c r="M176" s="19"/>
      <c r="N176" s="54"/>
      <c r="O176" s="312"/>
      <c r="P176" s="117"/>
      <c r="Q176" s="117"/>
      <c r="R176" s="117"/>
      <c r="S176" s="31"/>
      <c r="T176" s="117"/>
      <c r="W176" s="117"/>
      <c r="X176" s="117"/>
    </row>
    <row r="177" spans="1:25" s="45" customFormat="1">
      <c r="A177" s="117"/>
      <c r="B177" s="175"/>
      <c r="C177" s="175"/>
      <c r="D177" s="117"/>
      <c r="I177" s="54"/>
      <c r="J177" s="178" t="s">
        <v>24</v>
      </c>
      <c r="K177" s="54"/>
      <c r="L177" s="174"/>
      <c r="M177" s="19"/>
      <c r="N177" s="54"/>
      <c r="O177" s="312" t="s">
        <v>471</v>
      </c>
      <c r="P177" s="117"/>
      <c r="Q177" s="117"/>
      <c r="R177" s="117"/>
      <c r="S177" s="31"/>
      <c r="T177" s="117"/>
      <c r="W177" s="117"/>
      <c r="X177" s="117"/>
    </row>
    <row r="178" spans="1:25" s="45" customFormat="1">
      <c r="A178" s="117"/>
      <c r="B178" s="175"/>
      <c r="C178" s="175"/>
      <c r="D178" s="117"/>
      <c r="I178" s="54"/>
      <c r="J178" s="178" t="s">
        <v>23</v>
      </c>
      <c r="K178" s="44" t="str">
        <f>CONCATENATE("selected(data('",N175,"'),'1') &amp;&amp; ", K170)</f>
        <v>selected(data('q16206_3b'),'1') &amp;&amp; selected(data('q16206_3a'),'1') &amp;&amp; selected(data('q16202_3'),'1') &amp;&amp; selected(data('q16201'),'1')</v>
      </c>
      <c r="L178" s="174"/>
      <c r="M178" s="174"/>
      <c r="N178" s="54"/>
      <c r="O178" s="312"/>
      <c r="P178" s="117"/>
      <c r="Q178" s="117"/>
      <c r="R178" s="117"/>
      <c r="S178" s="117"/>
      <c r="T178" s="117"/>
      <c r="W178" s="117"/>
      <c r="X178" s="117"/>
    </row>
    <row r="179" spans="1:25" s="45" customFormat="1" ht="75">
      <c r="A179" s="117"/>
      <c r="B179" s="175"/>
      <c r="C179" s="175"/>
      <c r="D179" s="117"/>
      <c r="I179" s="54"/>
      <c r="K179" s="54"/>
      <c r="L179" s="174" t="s">
        <v>18</v>
      </c>
      <c r="M179" s="19" t="s">
        <v>17</v>
      </c>
      <c r="N179" s="54" t="str">
        <f>CONCATENATE("q",$I$16, "_",$I$26,"c")</f>
        <v>q16204_3c</v>
      </c>
      <c r="O179" s="312" t="str">
        <f>CONCATENATE(SUBSTITUTE(N179, "q",""),, ". ", SUBSTITUTE($E$16, "]الحيوانات[",$E$26))</f>
        <v>16204_3c. هل الشخص الثالث الذي يرعى الماعز هو أحد أفراد الأسرة؟</v>
      </c>
      <c r="P179" s="117" t="str">
        <f>CONCATENATE(N179, ". ", SUBSTITUTE($B$16, "[animal]",$B$26))</f>
        <v>q16204_3c. Is the third person who takes care of the  Goats a member of the household?</v>
      </c>
      <c r="Q179" s="117"/>
      <c r="R179" s="117"/>
      <c r="S179" s="31" t="str">
        <f>CONCATENATE($K178, " &amp;&amp; ", $S$6)</f>
        <v>selected(data('q16206_3b'),'1') &amp;&amp; selected(data('q16206_3a'),'1') &amp;&amp; selected(data('q16202_3'),'1') &amp;&amp; selected(data('q16201'),'1') &amp;&amp; data('valid_overall') == 1</v>
      </c>
      <c r="T179" s="117"/>
      <c r="W179" s="117"/>
      <c r="X179" s="117"/>
      <c r="Y179" s="45" t="b">
        <v>1</v>
      </c>
    </row>
    <row r="180" spans="1:25" s="45" customFormat="1">
      <c r="A180" s="117"/>
      <c r="B180" s="175"/>
      <c r="C180" s="175"/>
      <c r="D180" s="117"/>
      <c r="I180" s="54"/>
      <c r="J180" s="178" t="s">
        <v>24</v>
      </c>
      <c r="K180" s="54"/>
      <c r="L180" s="174"/>
      <c r="M180" s="19"/>
      <c r="N180" s="54"/>
      <c r="O180" s="312"/>
      <c r="P180" s="117"/>
      <c r="Q180" s="117"/>
      <c r="R180" s="117"/>
      <c r="S180" s="31"/>
      <c r="T180" s="117"/>
      <c r="W180" s="117"/>
      <c r="X180" s="117"/>
    </row>
    <row r="181" spans="1:25" s="45" customFormat="1">
      <c r="A181" s="117"/>
      <c r="B181" s="175"/>
      <c r="C181" s="175"/>
      <c r="D181" s="117"/>
      <c r="I181" s="54"/>
      <c r="J181" s="178" t="s">
        <v>23</v>
      </c>
      <c r="K181" s="44" t="str">
        <f>CONCATENATE("selected(data('",N179,"'),'1') &amp;&amp; ", K178)</f>
        <v>selected(data('q16204_3c'),'1') &amp;&amp; selected(data('q16206_3b'),'1') &amp;&amp; selected(data('q16206_3a'),'1') &amp;&amp; selected(data('q16202_3'),'1') &amp;&amp; selected(data('q16201'),'1')</v>
      </c>
      <c r="L181" s="174"/>
      <c r="M181" s="174"/>
      <c r="N181" s="54"/>
      <c r="O181" s="312"/>
      <c r="P181" s="117"/>
      <c r="Q181" s="117"/>
      <c r="R181" s="117"/>
      <c r="S181" s="117"/>
      <c r="T181" s="117"/>
      <c r="W181" s="117"/>
      <c r="X181" s="117"/>
    </row>
    <row r="182" spans="1:25" s="45" customFormat="1" ht="90">
      <c r="A182" s="117"/>
      <c r="B182" s="54"/>
      <c r="C182" s="54"/>
      <c r="D182" s="117"/>
      <c r="E182" s="54"/>
      <c r="F182" s="54"/>
      <c r="G182" s="191"/>
      <c r="I182" s="54"/>
      <c r="J182" s="197"/>
      <c r="K182" s="19"/>
      <c r="L182" s="19" t="s">
        <v>174</v>
      </c>
      <c r="M182" s="19" t="s">
        <v>206</v>
      </c>
      <c r="N182" s="54" t="str">
        <f>CONCATENATE("q",$I$17, "_",$I$26,"c")</f>
        <v>q16205_3c</v>
      </c>
      <c r="O182" s="312" t="str">
        <f>CONCATENATE(N182, ". ", SUBSTITUTE($E$16, "]الحيوانات[",$E$26))</f>
        <v>q16205_3c. هل الشخص الثالث الذي يرعى الماعز هو أحد أفراد الأسرة؟</v>
      </c>
      <c r="P182" s="117" t="str">
        <f>CONCATENATE(N182, ". ", SUBSTITUTE($B$17, "[animal]",$B$26))</f>
        <v>q16205_3c. Who is the person who takes care of the  Goats? Third member</v>
      </c>
      <c r="Q182" s="117"/>
      <c r="R182" s="117"/>
      <c r="S182" s="31" t="str">
        <f>CONCATENATE($K181, " &amp;&amp; ",$S$6)</f>
        <v>selected(data('q16204_3c'),'1') &amp;&amp; selected(data('q16206_3b'),'1') &amp;&amp; selected(data('q16206_3a'),'1') &amp;&amp; selected(data('q16202_3'),'1') &amp;&amp; selected(data('q16201'),'1') &amp;&amp; data('valid_overall') == 1</v>
      </c>
      <c r="T182" s="117"/>
      <c r="Y182" s="45" t="b">
        <v>1</v>
      </c>
    </row>
    <row r="183" spans="1:25" s="404" customFormat="1">
      <c r="I183" s="18"/>
      <c r="L183" s="18"/>
      <c r="O183" s="70"/>
      <c r="P183" s="30"/>
      <c r="Q183" s="30"/>
      <c r="R183" s="30"/>
      <c r="S183" s="30"/>
      <c r="T183" s="30"/>
    </row>
    <row r="184" spans="1:25" s="45" customFormat="1">
      <c r="A184" s="117"/>
      <c r="B184" s="54"/>
      <c r="C184" s="54"/>
      <c r="D184" s="117"/>
      <c r="E184" s="54"/>
      <c r="F184" s="54"/>
      <c r="G184" s="191"/>
      <c r="I184" s="54"/>
      <c r="J184" s="88" t="s">
        <v>42</v>
      </c>
      <c r="K184" s="64"/>
      <c r="L184" s="19"/>
      <c r="M184" s="64"/>
      <c r="N184" s="64"/>
      <c r="O184" s="407"/>
      <c r="P184" s="31"/>
      <c r="Q184" s="117"/>
      <c r="R184" s="117"/>
      <c r="S184" s="117"/>
      <c r="T184" s="117"/>
    </row>
    <row r="185" spans="1:25" s="45" customFormat="1">
      <c r="A185" s="117"/>
      <c r="B185" s="54"/>
      <c r="C185" s="54"/>
      <c r="D185" s="117"/>
      <c r="E185" s="54"/>
      <c r="F185" s="54"/>
      <c r="G185" s="191"/>
      <c r="I185" s="54"/>
      <c r="J185" s="88" t="s">
        <v>23</v>
      </c>
      <c r="K185" s="64" t="str">
        <f>K147</f>
        <v>selected(data('q16202_3'),'1') &amp;&amp; selected(data('q16201'),'1')</v>
      </c>
      <c r="L185" s="19"/>
      <c r="M185" s="64"/>
      <c r="N185" s="64"/>
      <c r="O185" s="407"/>
      <c r="P185" s="31"/>
      <c r="Q185" s="117"/>
      <c r="R185" s="117"/>
      <c r="S185" s="117"/>
      <c r="T185" s="117"/>
    </row>
    <row r="186" spans="1:25" s="45" customFormat="1">
      <c r="A186" s="117"/>
      <c r="B186" s="54"/>
      <c r="C186" s="54"/>
      <c r="D186" s="117"/>
      <c r="E186" s="54"/>
      <c r="F186" s="54"/>
      <c r="G186" s="191"/>
      <c r="I186" s="54"/>
      <c r="J186" s="405" t="s">
        <v>20</v>
      </c>
      <c r="K186" s="64"/>
      <c r="L186" s="19"/>
      <c r="M186" s="64"/>
      <c r="N186" s="64"/>
      <c r="O186" s="407"/>
      <c r="P186" s="31"/>
      <c r="Q186" s="117"/>
      <c r="R186" s="117"/>
      <c r="S186" s="117"/>
      <c r="T186" s="117"/>
    </row>
    <row r="187" spans="1:25" s="45" customFormat="1">
      <c r="A187" s="117"/>
      <c r="B187" s="54"/>
      <c r="C187" s="54"/>
      <c r="D187" s="117"/>
      <c r="E187" s="54"/>
      <c r="F187" s="54"/>
      <c r="G187" s="191"/>
      <c r="I187" s="54"/>
      <c r="J187" s="66" t="s">
        <v>23</v>
      </c>
      <c r="K187" s="64" t="str">
        <f>K181</f>
        <v>selected(data('q16204_3c'),'1') &amp;&amp; selected(data('q16206_3b'),'1') &amp;&amp; selected(data('q16206_3a'),'1') &amp;&amp; selected(data('q16202_3'),'1') &amp;&amp; selected(data('q16201'),'1')</v>
      </c>
      <c r="L187" s="19"/>
      <c r="M187" s="64"/>
      <c r="N187" s="64"/>
      <c r="O187" s="407"/>
      <c r="P187" s="31"/>
      <c r="Q187" s="117"/>
      <c r="R187" s="117"/>
      <c r="S187" s="117"/>
      <c r="T187" s="117"/>
    </row>
    <row r="188" spans="1:25" s="45" customFormat="1" ht="255">
      <c r="A188" s="117"/>
      <c r="B188" s="175"/>
      <c r="C188" s="175"/>
      <c r="D188" s="117"/>
      <c r="I188" s="54"/>
      <c r="J188" s="176"/>
      <c r="K188" s="54"/>
      <c r="L188" s="174" t="s">
        <v>413</v>
      </c>
      <c r="M188" s="174" t="str">
        <f>CONCATENATE(M182,"_line_",N182)</f>
        <v>roster_line_q16205_3c</v>
      </c>
      <c r="N188" s="174" t="str">
        <f>CONCATENATE(N182,"_1")</f>
        <v>q16205_3c_1</v>
      </c>
      <c r="O188" s="312"/>
      <c r="P188" s="117"/>
      <c r="Q188" s="117"/>
      <c r="R188" s="117"/>
      <c r="S188" s="117" t="str">
        <f>S182</f>
        <v>selected(data('q16204_3c'),'1') &amp;&amp; selected(data('q16206_3b'),'1') &amp;&amp; selected(data('q16206_3a'),'1') &amp;&amp; selected(data('q16202_3'),'1') &amp;&amp; selected(data('q16201'),'1') &amp;&amp; data('valid_overall') == 1</v>
      </c>
      <c r="T188" s="117"/>
      <c r="V188" s="31" t="str">
        <f>CONCATENATE(" (((data('",N157,"') != data('",N173,"')) || selected(data('",N159,"'), '2')   || selected(data('",N149,"'), '2')  || selected(data('",N164,"'), '2')) &amp;&amp; ((data('",N173,"') != data('",N188,"'))  || selected(data('",N159,"'), '2') || selected(data('",N175,"'), '2')   || selected(data('",N164,"'), '2')  || selected(data('",N179,"'), '2'))   &amp;&amp; ((data('",N157,"') != data('",N188,"'))  || selected(data('",N159,"'), '2')|| selected(data('",N179,"'), '2')   || selected(data('",N149,"'), '2')  || selected(data('",N179,"'), '2'))  )  || selected(data('",N145,"'), '2') || selected(data('",$N$6,"'),'2') || data('valid_overall') == 0")</f>
        <v xml:space="preserve"> (((data('q16205_3a_1') != data('q16205_3b_1')) || selected(data('q16206_3a'), '2')   || selected(data('q16204_3a'), '2')  || selected(data('q16204_3b'), '2')) &amp;&amp; ((data('q16205_3b_1') != data('q16205_3c_1'))  || selected(data('q16206_3a'), '2') || selected(data('q16206_3b'), '2')   || selected(data('q16204_3b'), '2')  || selected(data('q16204_3c'), '2'))   &amp;&amp; ((data('q16205_3a_1') != data('q16205_3c_1'))  || selected(data('q16206_3a'), '2')|| selected(data('q16204_3c'), '2')   || selected(data('q16204_3a'), '2')  || selected(data('q16204_3c'), '2'))  )  || selected(data('q16202_3'), '2') || selected(data('q16201'),'2') || data('valid_overall') == 0</v>
      </c>
      <c r="W188" s="31" t="s">
        <v>1033</v>
      </c>
      <c r="X188" s="31" t="s">
        <v>555</v>
      </c>
      <c r="Y188" s="45" t="b">
        <v>1</v>
      </c>
    </row>
    <row r="189" spans="1:25" s="45" customFormat="1">
      <c r="A189" s="117"/>
      <c r="B189" s="54"/>
      <c r="C189" s="54"/>
      <c r="D189" s="117"/>
      <c r="E189" s="54"/>
      <c r="F189" s="54"/>
      <c r="G189" s="191"/>
      <c r="I189" s="54"/>
      <c r="J189" s="66" t="s">
        <v>24</v>
      </c>
      <c r="K189" s="64"/>
      <c r="L189" s="19"/>
      <c r="M189" s="64"/>
      <c r="N189" s="64"/>
      <c r="O189" s="407"/>
      <c r="P189" s="31"/>
      <c r="Q189" s="117"/>
      <c r="R189" s="117"/>
      <c r="S189" s="117"/>
      <c r="T189" s="117"/>
    </row>
    <row r="190" spans="1:25" s="45" customFormat="1" ht="60">
      <c r="A190" s="117"/>
      <c r="B190" s="117"/>
      <c r="C190" s="117"/>
      <c r="D190" s="117"/>
      <c r="E190" s="118"/>
      <c r="F190" s="118"/>
      <c r="G190" s="191"/>
      <c r="I190" s="54"/>
      <c r="J190" s="192"/>
      <c r="L190" s="54" t="s">
        <v>18</v>
      </c>
      <c r="M190" s="45" t="s">
        <v>17</v>
      </c>
      <c r="N190" s="45" t="str">
        <f>CONCATENATE("q",$I$18, "_",$I$26)</f>
        <v>q16207_3</v>
      </c>
      <c r="O190" s="312" t="str">
        <f>CONCATENATE(N190, ". ", SUBSTITUTE($E$18, "]الحيوانات[",$E$26))</f>
        <v>q16207_3. خلال الـ12 شهر الماضية، هل قمت استهلكت أي من الماعز؟</v>
      </c>
      <c r="P190" s="117" t="str">
        <f>CONCATENATE(N190, ". ", SUBSTITUTE($B$18, "[animal]",$B$26))</f>
        <v>q16207_3. During the past 12 months have you consumed any of the  Goats?</v>
      </c>
      <c r="Q190" s="117"/>
      <c r="R190" s="117"/>
      <c r="S190" s="31" t="str">
        <f>CONCATENATE($K147, " &amp;&amp; ", $S$6)</f>
        <v>selected(data('q16202_3'),'1') &amp;&amp; selected(data('q16201'),'1') &amp;&amp; data('valid_overall') == 1</v>
      </c>
      <c r="T190" s="117"/>
      <c r="Y190" s="45" t="b">
        <v>1</v>
      </c>
    </row>
    <row r="191" spans="1:25" s="45" customFormat="1">
      <c r="A191" s="117"/>
      <c r="B191" s="117"/>
      <c r="C191" s="117"/>
      <c r="D191" s="117"/>
      <c r="E191" s="118"/>
      <c r="F191" s="118"/>
      <c r="G191" s="191"/>
      <c r="I191" s="54"/>
      <c r="J191" s="44" t="s">
        <v>21</v>
      </c>
      <c r="L191" s="54"/>
      <c r="O191" s="312"/>
      <c r="P191" s="117"/>
      <c r="Q191" s="117"/>
      <c r="R191" s="117"/>
      <c r="S191" s="31"/>
      <c r="T191" s="117"/>
    </row>
    <row r="192" spans="1:25" s="45" customFormat="1" ht="45">
      <c r="A192" s="117"/>
      <c r="B192" s="117"/>
      <c r="C192" s="117"/>
      <c r="D192" s="117"/>
      <c r="E192" s="118"/>
      <c r="F192" s="118"/>
      <c r="G192" s="191"/>
      <c r="I192" s="54"/>
      <c r="J192" s="192"/>
      <c r="L192" s="54" t="s">
        <v>18</v>
      </c>
      <c r="M192" s="45" t="s">
        <v>17</v>
      </c>
      <c r="N192" s="45" t="str">
        <f>CONCATENATE("q",$I$19, "_",$I$26)</f>
        <v>q16208_3</v>
      </c>
      <c r="O192" s="312" t="str">
        <f>CONCATENATE(N192, ". ", SUBSTITUTE($E$19, "]الحيوانات[",$E$26))</f>
        <v>q16208_3. خلال الـ12 شهر الماضية، هل قمت ببيع أي من الماعز؟</v>
      </c>
      <c r="P192" s="117" t="str">
        <f>CONCATENATE(N192, ". ", SUBSTITUTE($B$19, "[animal]",$B$26))</f>
        <v>q16208_3. During the past 12 months have you sold any of the  Goats?</v>
      </c>
      <c r="Q192" s="117"/>
      <c r="R192" s="117"/>
      <c r="S192" s="31" t="str">
        <f>CONCATENATE($K147, " &amp;&amp; ", $S$6)</f>
        <v>selected(data('q16202_3'),'1') &amp;&amp; selected(data('q16201'),'1') &amp;&amp; data('valid_overall') == 1</v>
      </c>
      <c r="T192" s="117"/>
      <c r="Y192" s="45" t="b">
        <v>1</v>
      </c>
    </row>
    <row r="193" spans="1:25" s="45" customFormat="1">
      <c r="A193" s="117"/>
      <c r="B193" s="117"/>
      <c r="C193" s="117"/>
      <c r="D193" s="117"/>
      <c r="E193" s="118"/>
      <c r="F193" s="118"/>
      <c r="G193" s="191"/>
      <c r="I193" s="54"/>
      <c r="J193" s="178" t="s">
        <v>24</v>
      </c>
      <c r="L193" s="54"/>
      <c r="O193" s="312"/>
      <c r="P193" s="117"/>
      <c r="Q193" s="117"/>
      <c r="R193" s="117"/>
      <c r="S193" s="31"/>
      <c r="T193" s="117"/>
    </row>
    <row r="194" spans="1:25" s="45" customFormat="1">
      <c r="B194" s="117"/>
      <c r="C194" s="117"/>
      <c r="D194" s="54"/>
      <c r="E194" s="117"/>
      <c r="F194" s="117"/>
      <c r="G194" s="54"/>
      <c r="H194" s="191"/>
      <c r="I194" s="54"/>
      <c r="J194" s="178" t="s">
        <v>23</v>
      </c>
      <c r="K194" s="45" t="str">
        <f>CONCATENATE("selected(data('",N192,"'),'1') &amp;&amp; ",K185)</f>
        <v>selected(data('q16208_3'),'1') &amp;&amp; selected(data('q16202_3'),'1') &amp;&amp; selected(data('q16201'),'1')</v>
      </c>
      <c r="L194" s="54"/>
      <c r="O194" s="312"/>
      <c r="P194" s="117"/>
      <c r="Q194" s="117"/>
      <c r="R194" s="117"/>
      <c r="S194" s="117"/>
      <c r="T194" s="117"/>
    </row>
    <row r="195" spans="1:25" s="45" customFormat="1" ht="60">
      <c r="B195" s="117"/>
      <c r="C195" s="117"/>
      <c r="D195" s="54"/>
      <c r="E195" s="117"/>
      <c r="F195" s="117"/>
      <c r="G195" s="54"/>
      <c r="H195" s="191"/>
      <c r="I195" s="54"/>
      <c r="J195" s="193"/>
      <c r="L195" s="54" t="s">
        <v>19</v>
      </c>
      <c r="N195" s="45" t="str">
        <f>CONCATENATE("q",$I$20, "_",$I$26)</f>
        <v>q16209_3</v>
      </c>
      <c r="O195" s="312" t="str">
        <f>CONCATENATE(N195, ". ", SUBSTITUTE($E$20,  "]الحيوانات[",$E$26))</f>
        <v>q16209_3. كم عدد الماعز  الذى تم بيعه؟</v>
      </c>
      <c r="P195" s="190" t="str">
        <f>CONCATENATE(N195, ". ", SUBSTITUTE($B$20, "[animal]",$B$26))</f>
        <v>q16209_3. How many  Goats have been sold?</v>
      </c>
      <c r="Q195" s="31" t="str">
        <f>$F$20</f>
        <v xml:space="preserve"> في حالة لا أعرف سجل  98</v>
      </c>
      <c r="R195" s="31" t="str">
        <f>$C$20</f>
        <v>*If don't know, write 98</v>
      </c>
      <c r="S195" s="31" t="str">
        <f>CONCATENATE($K194," &amp;&amp; ", $S$6)</f>
        <v>selected(data('q16208_3'),'1') &amp;&amp; selected(data('q16202_3'),'1') &amp;&amp; selected(data('q16201'),'1') &amp;&amp; data('valid_overall') == 1</v>
      </c>
      <c r="T195" s="31"/>
      <c r="Y195" s="45" t="b">
        <v>1</v>
      </c>
    </row>
    <row r="196" spans="1:25" s="45" customFormat="1" ht="60">
      <c r="B196" s="117"/>
      <c r="C196" s="117"/>
      <c r="D196" s="54"/>
      <c r="E196" s="117"/>
      <c r="F196" s="117"/>
      <c r="G196" s="54"/>
      <c r="H196" s="191"/>
      <c r="I196" s="54"/>
      <c r="J196" s="193"/>
      <c r="L196" s="54" t="s">
        <v>19</v>
      </c>
      <c r="N196" s="45" t="str">
        <f>CONCATENATE("q",$I$21, "_",$I$26)</f>
        <v>q16210_3</v>
      </c>
      <c r="O196" s="312" t="str">
        <f>CONCATENATE(N196, ". ", SUBSTITUTE($E$21,  "]الحيوانات[",$E$26))</f>
        <v xml:space="preserve">q16210_3. ما  قيمة البيع الإجمالية من الماعز  ؟ (بالجنيه)
</v>
      </c>
      <c r="P196" s="190" t="str">
        <f>CONCATENATE(N196, ". ", SUBSTITUTE($B$21, "[animal]",$B$26))</f>
        <v>q16210_3. What was the total value of the sales of  Goats ? (in pounds)</v>
      </c>
      <c r="Q196" s="31" t="str">
        <f>$F$21</f>
        <v>في حالة لا أعرف سجل 999998</v>
      </c>
      <c r="R196" s="31" t="str">
        <f>$C$21</f>
        <v xml:space="preserve"> *If don't know, write 999998</v>
      </c>
      <c r="S196" s="31" t="str">
        <f>CONCATENATE($K194," &amp;&amp; ", $S$6)</f>
        <v>selected(data('q16208_3'),'1') &amp;&amp; selected(data('q16202_3'),'1') &amp;&amp; selected(data('q16201'),'1') &amp;&amp; data('valid_overall') == 1</v>
      </c>
      <c r="T196" s="31"/>
      <c r="Y196" s="45" t="b">
        <v>1</v>
      </c>
    </row>
    <row r="197" spans="1:25" s="45" customFormat="1">
      <c r="B197" s="117"/>
      <c r="C197" s="117"/>
      <c r="E197" s="117"/>
      <c r="F197" s="117"/>
      <c r="H197" s="191"/>
      <c r="I197" s="54"/>
      <c r="J197" s="178" t="s">
        <v>42</v>
      </c>
      <c r="L197" s="54"/>
      <c r="O197" s="312"/>
      <c r="P197" s="117"/>
      <c r="Q197" s="117"/>
      <c r="R197" s="117"/>
      <c r="S197" s="117"/>
      <c r="T197" s="117"/>
    </row>
    <row r="198" spans="1:25" s="249" customFormat="1">
      <c r="B198" s="250"/>
      <c r="C198" s="250"/>
      <c r="E198" s="250"/>
      <c r="F198" s="250"/>
      <c r="H198" s="251" t="s">
        <v>792</v>
      </c>
      <c r="I198" s="253"/>
      <c r="J198" s="252"/>
      <c r="L198" s="253"/>
      <c r="O198" s="330"/>
      <c r="P198" s="250"/>
      <c r="Q198" s="250"/>
      <c r="R198" s="250"/>
      <c r="S198" s="250"/>
      <c r="T198" s="250"/>
      <c r="W198" s="45"/>
    </row>
    <row r="199" spans="1:25" s="31" customFormat="1">
      <c r="I199" s="19"/>
      <c r="J199" s="88" t="s">
        <v>23</v>
      </c>
      <c r="K199" s="64" t="str">
        <f>CONCATENATE("selected(data('",$N$6,"'),'1')")</f>
        <v>selected(data('q16201'),'1')</v>
      </c>
      <c r="O199" s="407"/>
    </row>
    <row r="200" spans="1:25" s="45" customFormat="1" ht="60">
      <c r="B200" s="117"/>
      <c r="C200" s="117"/>
      <c r="D200" s="117"/>
      <c r="E200" s="117"/>
      <c r="F200" s="117"/>
      <c r="G200" s="118"/>
      <c r="I200" s="54"/>
      <c r="L200" s="54" t="s">
        <v>18</v>
      </c>
      <c r="M200" s="45" t="s">
        <v>17</v>
      </c>
      <c r="N200" s="45" t="str">
        <f>CONCATENATE("q",$I$8, "_",$I$27)</f>
        <v>q16202_4</v>
      </c>
      <c r="O200" s="312" t="str">
        <f>CONCATENATE(SUBSTITUTE(N200, "q",""), ". ", SUBSTITUTE($E$8, "]الحيوانات[",$E$27))</f>
        <v>16202_4. هل تمتلك الأسرة أو أي من أفرادها أي الخراف؟</v>
      </c>
      <c r="P200" s="190" t="str">
        <f>CONCATENATE(N200, ". ", SUBSTITUTE($B$8, "[animal]",$B$27))</f>
        <v>q16202_4. Does any member of your household currently have any  Sheep?</v>
      </c>
      <c r="Q200" s="117"/>
      <c r="R200" s="117"/>
      <c r="S200" s="117" t="str">
        <f>CONCATENATE($K199, " &amp;&amp; ", $S$6)</f>
        <v>selected(data('q16201'),'1') &amp;&amp; data('valid_overall') == 1</v>
      </c>
      <c r="T200" s="117"/>
      <c r="W200" s="117"/>
      <c r="X200" s="117"/>
      <c r="Y200" s="45" t="b">
        <v>1</v>
      </c>
    </row>
    <row r="201" spans="1:25" s="45" customFormat="1">
      <c r="B201" s="117"/>
      <c r="C201" s="117"/>
      <c r="D201" s="117"/>
      <c r="E201" s="117"/>
      <c r="F201" s="117"/>
      <c r="G201" s="118"/>
      <c r="I201" s="54"/>
      <c r="J201" s="178" t="s">
        <v>24</v>
      </c>
      <c r="L201" s="54"/>
      <c r="O201" s="312"/>
      <c r="P201" s="190"/>
      <c r="Q201" s="117"/>
      <c r="R201" s="117"/>
      <c r="S201" s="117"/>
      <c r="T201" s="117"/>
      <c r="W201" s="117"/>
      <c r="X201" s="117"/>
    </row>
    <row r="202" spans="1:25" s="45" customFormat="1">
      <c r="I202" s="15"/>
      <c r="J202" s="178" t="s">
        <v>23</v>
      </c>
      <c r="K202" s="45" t="str">
        <f>CONCATENATE("selected(data('",N200,"'),'1') &amp;&amp; ", K199)</f>
        <v>selected(data('q16202_4'),'1') &amp;&amp; selected(data('q16201'),'1')</v>
      </c>
      <c r="L202" s="54"/>
      <c r="O202" s="312"/>
      <c r="P202" s="117"/>
      <c r="Q202" s="117"/>
      <c r="R202" s="117"/>
      <c r="S202" s="117"/>
      <c r="T202" s="117"/>
    </row>
    <row r="203" spans="1:25" s="45" customFormat="1" ht="60">
      <c r="B203" s="117"/>
      <c r="C203" s="117"/>
      <c r="D203" s="54"/>
      <c r="E203" s="117"/>
      <c r="F203" s="117"/>
      <c r="G203" s="54"/>
      <c r="H203" s="191"/>
      <c r="I203" s="54"/>
      <c r="J203" s="178"/>
      <c r="L203" s="54" t="s">
        <v>19</v>
      </c>
      <c r="N203" s="45" t="str">
        <f>CONCATENATE("q",$I$9, "_",$I$27)</f>
        <v>q16203_4</v>
      </c>
      <c r="O203" s="312" t="str">
        <f>CONCATENATE(SUBSTITUTE(N203, "q",""), ". ", SUBSTITUTE($E$9, "]الحيوانات[",$E$27))</f>
        <v>16203_4. كم عدد الخراف التي تملكها الأسرة خلص أو مشاركة؟</v>
      </c>
      <c r="P203" s="117" t="str">
        <f>CONCATENATE(N203, ". ", SUBSTITUTE($B$9, "[animal]",$B$27))</f>
        <v>q16203_4. How many   Sheep does your household currently own entirely or with sharing?</v>
      </c>
      <c r="Q203" s="117"/>
      <c r="R203" s="117"/>
      <c r="S203" s="31" t="str">
        <f>CONCATENATE($K202, " &amp;&amp; ", $S$6)</f>
        <v>selected(data('q16202_4'),'1') &amp;&amp; selected(data('q16201'),'1') &amp;&amp; data('valid_overall') == 1</v>
      </c>
      <c r="T203" s="117"/>
      <c r="Y203" s="45" t="b">
        <v>1</v>
      </c>
    </row>
    <row r="204" spans="1:25" s="45" customFormat="1" ht="60">
      <c r="B204" s="117"/>
      <c r="C204" s="117"/>
      <c r="D204" s="117"/>
      <c r="E204" s="117"/>
      <c r="F204" s="117"/>
      <c r="G204" s="54"/>
      <c r="H204" s="191"/>
      <c r="I204" s="54"/>
      <c r="J204" s="159"/>
      <c r="K204" s="19"/>
      <c r="L204" s="54" t="s">
        <v>18</v>
      </c>
      <c r="M204" s="19" t="s">
        <v>17</v>
      </c>
      <c r="N204" s="54" t="str">
        <f>CONCATENATE("q",$I$10, "_",$I$27,"a")</f>
        <v>q16204_4a</v>
      </c>
      <c r="O204" s="312" t="str">
        <f>CONCATENATE(SUBSTITUTE(N204, "q",""), ". ", SUBSTITUTE($E$10, "]الحيوانات[",$E$27))</f>
        <v>16204_4a. هل الشخص الرئيسي الذي يرعى الخراف هو أحد أفراد الأسرة؟</v>
      </c>
      <c r="P204" s="117" t="str">
        <f>CONCATENATE(N204, ". ", SUBSTITUTE($B$10, "[animal]",$B$27))</f>
        <v>q16204_4a. Is the primary person who takes care of the  Sheep a member of the household?</v>
      </c>
      <c r="Q204" s="117"/>
      <c r="R204" s="117"/>
      <c r="S204" s="31" t="str">
        <f>CONCATENATE($K202, " &amp;&amp; ", $S$6)</f>
        <v>selected(data('q16202_4'),'1') &amp;&amp; selected(data('q16201'),'1') &amp;&amp; data('valid_overall') == 1</v>
      </c>
      <c r="T204" s="117"/>
      <c r="Y204" s="45" t="b">
        <v>1</v>
      </c>
    </row>
    <row r="205" spans="1:25" s="45" customFormat="1">
      <c r="B205" s="117"/>
      <c r="C205" s="117"/>
      <c r="D205" s="117"/>
      <c r="E205" s="117"/>
      <c r="F205" s="117"/>
      <c r="G205" s="54"/>
      <c r="H205" s="191"/>
      <c r="I205" s="54"/>
      <c r="J205" s="88" t="s">
        <v>24</v>
      </c>
      <c r="K205" s="19"/>
      <c r="L205" s="54"/>
      <c r="M205" s="19"/>
      <c r="N205" s="54"/>
      <c r="O205" s="312"/>
      <c r="P205" s="117"/>
      <c r="Q205" s="117"/>
      <c r="R205" s="117"/>
      <c r="S205" s="31"/>
      <c r="T205" s="117"/>
    </row>
    <row r="206" spans="1:25" s="45" customFormat="1">
      <c r="B206" s="117"/>
      <c r="C206" s="117"/>
      <c r="D206" s="117"/>
      <c r="E206" s="117"/>
      <c r="F206" s="117"/>
      <c r="G206" s="54"/>
      <c r="H206" s="191"/>
      <c r="I206" s="54"/>
      <c r="J206" s="178" t="s">
        <v>23</v>
      </c>
      <c r="K206" s="44" t="str">
        <f>CONCATENATE("selected(data('",N204,"'),'1') &amp;&amp; ", K202)</f>
        <v>selected(data('q16204_4a'),'1') &amp;&amp; selected(data('q16202_4'),'1') &amp;&amp; selected(data('q16201'),'1')</v>
      </c>
      <c r="L206" s="54"/>
      <c r="M206" s="19"/>
      <c r="N206" s="54"/>
      <c r="O206" s="312"/>
      <c r="P206" s="117"/>
      <c r="Q206" s="117"/>
      <c r="R206" s="117"/>
      <c r="S206" s="117"/>
      <c r="T206" s="117"/>
    </row>
    <row r="207" spans="1:25" s="45" customFormat="1" ht="60">
      <c r="A207" s="117"/>
      <c r="B207" s="54"/>
      <c r="C207" s="54"/>
      <c r="D207" s="117"/>
      <c r="E207" s="54"/>
      <c r="F207" s="54"/>
      <c r="G207" s="191"/>
      <c r="I207" s="54"/>
      <c r="J207" s="159"/>
      <c r="K207" s="19"/>
      <c r="L207" s="19" t="s">
        <v>174</v>
      </c>
      <c r="M207" s="19" t="s">
        <v>206</v>
      </c>
      <c r="N207" s="54" t="str">
        <f>CONCATENATE("q",$I$11, "_",$I$27,"a")</f>
        <v>q16205_4a</v>
      </c>
      <c r="O207" s="312" t="str">
        <f>CONCATENATE(SUBSTITUTE(N207, "q",""),, ". ", SUBSTITUTE($E$11, "]الحيوانات[",$E$27))</f>
        <v>16205_4a. من الشخص المسؤول عن رعاية الخراف في الأسرة؟ أول فرد</v>
      </c>
      <c r="P207" s="117" t="str">
        <f>CONCATENATE(N207, ". ", SUBSTITUTE($B$11, "[animal]",$B$27))</f>
        <v>q16205_4a. Who is the primary person who takes care of the  Sheep? First member</v>
      </c>
      <c r="Q207" s="117"/>
      <c r="R207" s="117"/>
      <c r="S207" s="31" t="str">
        <f>CONCATENATE($K206, " &amp;&amp; ", $S$6)</f>
        <v>selected(data('q16204_4a'),'1') &amp;&amp; selected(data('q16202_4'),'1') &amp;&amp; selected(data('q16201'),'1') &amp;&amp; data('valid_overall') == 1</v>
      </c>
      <c r="T207" s="117"/>
      <c r="Y207" s="45" t="b">
        <v>1</v>
      </c>
    </row>
    <row r="208" spans="1:25" s="45" customFormat="1">
      <c r="A208" s="117"/>
      <c r="B208" s="54"/>
      <c r="C208" s="54"/>
      <c r="D208" s="117"/>
      <c r="E208" s="54"/>
      <c r="F208" s="54"/>
      <c r="G208" s="191"/>
      <c r="I208" s="54"/>
      <c r="J208" s="178" t="s">
        <v>24</v>
      </c>
      <c r="K208" s="19"/>
      <c r="L208" s="19"/>
      <c r="M208" s="19"/>
      <c r="N208" s="54"/>
      <c r="O208" s="312"/>
      <c r="P208" s="117"/>
      <c r="Q208" s="117"/>
      <c r="R208" s="117"/>
      <c r="S208" s="31"/>
      <c r="T208" s="117"/>
    </row>
    <row r="209" spans="1:25" s="45" customFormat="1">
      <c r="A209" s="117"/>
      <c r="B209" s="175"/>
      <c r="C209" s="175"/>
      <c r="D209" s="117"/>
      <c r="I209" s="54"/>
      <c r="J209" s="178" t="s">
        <v>23</v>
      </c>
      <c r="K209" s="54" t="str">
        <f>K202</f>
        <v>selected(data('q16202_4'),'1') &amp;&amp; selected(data('q16201'),'1')</v>
      </c>
      <c r="L209" s="174"/>
      <c r="M209" s="174"/>
      <c r="N209" s="174"/>
      <c r="O209" s="312"/>
      <c r="P209" s="117"/>
      <c r="Q209" s="117"/>
      <c r="R209" s="117"/>
      <c r="S209" s="117"/>
      <c r="T209" s="117"/>
      <c r="W209" s="117"/>
      <c r="X209" s="117"/>
    </row>
    <row r="210" spans="1:25" s="45" customFormat="1">
      <c r="A210" s="117"/>
      <c r="B210" s="175"/>
      <c r="C210" s="175"/>
      <c r="D210" s="117"/>
      <c r="I210" s="54"/>
      <c r="J210" s="44" t="s">
        <v>20</v>
      </c>
      <c r="K210" s="54"/>
      <c r="L210" s="174"/>
      <c r="M210" s="174"/>
      <c r="N210" s="174"/>
      <c r="O210" s="312"/>
      <c r="P210" s="117"/>
      <c r="Q210" s="117"/>
      <c r="R210" s="117"/>
      <c r="S210" s="117"/>
      <c r="T210" s="117"/>
      <c r="W210" s="117"/>
      <c r="X210" s="117"/>
    </row>
    <row r="211" spans="1:25" s="45" customFormat="1">
      <c r="A211" s="117"/>
      <c r="B211" s="175"/>
      <c r="C211" s="175"/>
      <c r="D211" s="117"/>
      <c r="I211" s="54"/>
      <c r="J211" s="176" t="s">
        <v>23</v>
      </c>
      <c r="K211" s="54" t="str">
        <f>K206</f>
        <v>selected(data('q16204_4a'),'1') &amp;&amp; selected(data('q16202_4'),'1') &amp;&amp; selected(data('q16201'),'1')</v>
      </c>
      <c r="L211" s="174"/>
      <c r="M211" s="174"/>
      <c r="N211" s="174"/>
      <c r="O211" s="312"/>
      <c r="P211" s="117"/>
      <c r="Q211" s="117"/>
      <c r="R211" s="117"/>
      <c r="S211" s="117"/>
      <c r="T211" s="117"/>
      <c r="W211" s="117"/>
      <c r="X211" s="117"/>
    </row>
    <row r="212" spans="1:25" s="45" customFormat="1">
      <c r="A212" s="117"/>
      <c r="B212" s="175"/>
      <c r="C212" s="175"/>
      <c r="D212" s="117"/>
      <c r="I212" s="54"/>
      <c r="K212" s="54"/>
      <c r="L212" s="174" t="s">
        <v>413</v>
      </c>
      <c r="M212" s="174" t="str">
        <f>CONCATENATE(M207,"_line_",N207)</f>
        <v>roster_line_q16205_4a</v>
      </c>
      <c r="N212" s="174" t="str">
        <f>CONCATENATE(N207,"_1")</f>
        <v>q16205_4a_1</v>
      </c>
      <c r="O212" s="312"/>
      <c r="P212" s="117"/>
      <c r="Q212" s="117"/>
      <c r="R212" s="117"/>
      <c r="S212" s="117" t="str">
        <f>S207</f>
        <v>selected(data('q16204_4a'),'1') &amp;&amp; selected(data('q16202_4'),'1') &amp;&amp; selected(data('q16201'),'1') &amp;&amp; data('valid_overall') == 1</v>
      </c>
      <c r="T212" s="117"/>
      <c r="W212" s="117"/>
      <c r="X212" s="117"/>
      <c r="Y212" s="45" t="b">
        <v>1</v>
      </c>
    </row>
    <row r="213" spans="1:25" s="45" customFormat="1">
      <c r="A213" s="117"/>
      <c r="B213" s="175"/>
      <c r="C213" s="175"/>
      <c r="D213" s="117"/>
      <c r="I213" s="54"/>
      <c r="J213" s="176" t="s">
        <v>24</v>
      </c>
      <c r="K213" s="54"/>
      <c r="L213" s="174"/>
      <c r="M213" s="174"/>
      <c r="N213" s="174"/>
      <c r="O213" s="312"/>
      <c r="P213" s="117"/>
      <c r="Q213" s="117"/>
      <c r="R213" s="117"/>
      <c r="S213" s="117"/>
      <c r="T213" s="117"/>
      <c r="W213" s="117"/>
      <c r="X213" s="117"/>
    </row>
    <row r="214" spans="1:25" s="45" customFormat="1" ht="45">
      <c r="A214" s="117"/>
      <c r="B214" s="175"/>
      <c r="C214" s="175"/>
      <c r="D214" s="117"/>
      <c r="I214" s="54"/>
      <c r="K214" s="54"/>
      <c r="L214" s="174" t="s">
        <v>18</v>
      </c>
      <c r="M214" s="19" t="s">
        <v>17</v>
      </c>
      <c r="N214" s="54" t="str">
        <f>CONCATENATE("q",$I$12, "_",$I$27,"a")</f>
        <v>q16206_4a</v>
      </c>
      <c r="O214" s="312" t="str">
        <f>CONCATENATE(SUBSTITUTE(N214, "q",""),, ". ", SUBSTITUTE($E$12, "]الحيوانات[",$E$27))</f>
        <v>16206_4a. هل هناك شخص آخر يرعى الخراف؟</v>
      </c>
      <c r="P214" s="117" t="str">
        <f>CONCATENATE(N214, ". ", SUBSTITUTE($B$12, "[animal]",$B$27))</f>
        <v>q16206_4a. Is there another person who takes care of the  Sheep?</v>
      </c>
      <c r="Q214" s="117"/>
      <c r="R214" s="117"/>
      <c r="S214" s="31" t="str">
        <f>CONCATENATE($K209, " &amp;&amp; ", $S$6)</f>
        <v>selected(data('q16202_4'),'1') &amp;&amp; selected(data('q16201'),'1') &amp;&amp; data('valid_overall') == 1</v>
      </c>
      <c r="T214" s="117"/>
      <c r="W214" s="117"/>
      <c r="X214" s="117"/>
      <c r="Y214" s="45" t="b">
        <v>1</v>
      </c>
    </row>
    <row r="215" spans="1:25" s="45" customFormat="1">
      <c r="A215" s="117"/>
      <c r="B215" s="175"/>
      <c r="C215" s="175"/>
      <c r="D215" s="117"/>
      <c r="I215" s="54"/>
      <c r="J215" s="45" t="s">
        <v>21</v>
      </c>
      <c r="K215" s="54"/>
      <c r="L215" s="174"/>
      <c r="M215" s="19"/>
      <c r="N215" s="54"/>
      <c r="O215" s="312"/>
      <c r="P215" s="117"/>
      <c r="Q215" s="117"/>
      <c r="R215" s="117"/>
      <c r="S215" s="31"/>
      <c r="T215" s="117"/>
      <c r="W215" s="117"/>
      <c r="X215" s="117"/>
    </row>
    <row r="216" spans="1:25" s="45" customFormat="1">
      <c r="A216" s="117"/>
      <c r="B216" s="175"/>
      <c r="C216" s="175"/>
      <c r="D216" s="117"/>
      <c r="I216" s="54"/>
      <c r="J216" s="178" t="s">
        <v>24</v>
      </c>
      <c r="K216" s="54"/>
      <c r="L216" s="174"/>
      <c r="M216" s="19"/>
      <c r="N216" s="54"/>
      <c r="O216" s="312"/>
      <c r="P216" s="117"/>
      <c r="Q216" s="117"/>
      <c r="R216" s="117"/>
      <c r="S216" s="31"/>
      <c r="T216" s="117"/>
      <c r="W216" s="117"/>
      <c r="X216" s="117"/>
    </row>
    <row r="217" spans="1:25" s="45" customFormat="1">
      <c r="A217" s="117"/>
      <c r="B217" s="175"/>
      <c r="C217" s="175"/>
      <c r="D217" s="117"/>
      <c r="I217" s="54"/>
      <c r="J217" s="178" t="s">
        <v>23</v>
      </c>
      <c r="K217" s="44" t="str">
        <f>CONCATENATE("selected(data('",N214,"'),'1') &amp;&amp; ",K209)</f>
        <v>selected(data('q16206_4a'),'1') &amp;&amp; selected(data('q16202_4'),'1') &amp;&amp; selected(data('q16201'),'1')</v>
      </c>
      <c r="L217" s="174"/>
      <c r="M217" s="174"/>
      <c r="N217" s="54"/>
      <c r="O217" s="312"/>
      <c r="P217" s="117"/>
      <c r="Q217" s="117"/>
      <c r="R217" s="117"/>
      <c r="S217" s="117"/>
      <c r="T217" s="117"/>
      <c r="W217" s="117"/>
      <c r="X217" s="117"/>
    </row>
    <row r="218" spans="1:25" s="45" customFormat="1">
      <c r="A218" s="117"/>
      <c r="B218" s="175"/>
      <c r="C218" s="175"/>
      <c r="D218" s="117"/>
      <c r="I218" s="54"/>
      <c r="J218" s="44" t="s">
        <v>20</v>
      </c>
      <c r="K218" s="44"/>
      <c r="L218" s="174"/>
      <c r="M218" s="174"/>
      <c r="N218" s="54"/>
      <c r="O218" s="312"/>
      <c r="P218" s="117"/>
      <c r="Q218" s="117"/>
      <c r="R218" s="117"/>
      <c r="S218" s="117"/>
      <c r="T218" s="117"/>
      <c r="W218" s="117"/>
      <c r="X218" s="117"/>
    </row>
    <row r="219" spans="1:25" s="45" customFormat="1" ht="60">
      <c r="A219" s="117"/>
      <c r="B219" s="175"/>
      <c r="C219" s="175"/>
      <c r="D219" s="117"/>
      <c r="I219" s="54"/>
      <c r="K219" s="54"/>
      <c r="L219" s="174" t="s">
        <v>18</v>
      </c>
      <c r="M219" s="19" t="s">
        <v>17</v>
      </c>
      <c r="N219" s="54" t="str">
        <f>CONCATENATE("q",$I$13, "_",$I$27,"b")</f>
        <v>q16204_4b</v>
      </c>
      <c r="O219" s="312" t="str">
        <f>CONCATENATE(SUBSTITUTE(N219, "q",""),, ". ", SUBSTITUTE($E$13, "]الحيوانات[",$E$27))</f>
        <v>16204_4b. هل الشخص الثاني الذي يرعى الخراف هو أحد أفراد الأسرة؟</v>
      </c>
      <c r="P219" s="117" t="str">
        <f>CONCATENATE(N219, ". ", SUBSTITUTE($B$13, "[animal]",$B$27))</f>
        <v>q16204_4b. Is the second person who takes care of the  Sheep a member of the household?</v>
      </c>
      <c r="Q219" s="117"/>
      <c r="R219" s="117"/>
      <c r="S219" s="31" t="str">
        <f>CONCATENATE($K217, " &amp;&amp; ", $S$6)</f>
        <v>selected(data('q16206_4a'),'1') &amp;&amp; selected(data('q16202_4'),'1') &amp;&amp; selected(data('q16201'),'1') &amp;&amp; data('valid_overall') == 1</v>
      </c>
      <c r="T219" s="117"/>
      <c r="W219" s="117"/>
      <c r="X219" s="117"/>
      <c r="Y219" s="45" t="b">
        <v>1</v>
      </c>
    </row>
    <row r="220" spans="1:25" s="45" customFormat="1">
      <c r="A220" s="117"/>
      <c r="B220" s="175"/>
      <c r="C220" s="175"/>
      <c r="D220" s="117"/>
      <c r="I220" s="54"/>
      <c r="J220" s="45" t="s">
        <v>21</v>
      </c>
      <c r="K220" s="54"/>
      <c r="L220" s="174"/>
      <c r="M220" s="19"/>
      <c r="N220" s="54"/>
      <c r="O220" s="312"/>
      <c r="P220" s="117"/>
      <c r="Q220" s="117"/>
      <c r="R220" s="117"/>
      <c r="S220" s="31"/>
      <c r="T220" s="117"/>
      <c r="W220" s="117"/>
      <c r="X220" s="117"/>
    </row>
    <row r="221" spans="1:25" s="45" customFormat="1">
      <c r="A221" s="117"/>
      <c r="B221" s="175"/>
      <c r="C221" s="175"/>
      <c r="D221" s="117"/>
      <c r="I221" s="54"/>
      <c r="J221" s="178" t="s">
        <v>24</v>
      </c>
      <c r="K221" s="54"/>
      <c r="L221" s="174"/>
      <c r="M221" s="19"/>
      <c r="N221" s="54"/>
      <c r="O221" s="312"/>
      <c r="P221" s="117"/>
      <c r="Q221" s="117"/>
      <c r="R221" s="117"/>
      <c r="S221" s="31"/>
      <c r="T221" s="117"/>
      <c r="W221" s="117"/>
      <c r="X221" s="117"/>
    </row>
    <row r="222" spans="1:25" s="45" customFormat="1">
      <c r="A222" s="117"/>
      <c r="B222" s="175"/>
      <c r="C222" s="175"/>
      <c r="D222" s="117"/>
      <c r="I222" s="54"/>
      <c r="J222" s="178" t="s">
        <v>23</v>
      </c>
      <c r="K222" s="44" t="str">
        <f>CONCATENATE("selected(data('",N219,"'),'1') &amp;&amp;", K217)</f>
        <v>selected(data('q16204_4b'),'1') &amp;&amp;selected(data('q16206_4a'),'1') &amp;&amp; selected(data('q16202_4'),'1') &amp;&amp; selected(data('q16201'),'1')</v>
      </c>
      <c r="L222" s="174"/>
      <c r="M222" s="174"/>
      <c r="N222" s="54"/>
      <c r="O222" s="312"/>
      <c r="P222" s="117"/>
      <c r="Q222" s="117"/>
      <c r="R222" s="117"/>
      <c r="S222" s="117"/>
      <c r="T222" s="117"/>
      <c r="W222" s="117"/>
      <c r="X222" s="117"/>
    </row>
    <row r="223" spans="1:25" s="45" customFormat="1" ht="75">
      <c r="A223" s="117"/>
      <c r="B223" s="54"/>
      <c r="C223" s="54"/>
      <c r="D223" s="117"/>
      <c r="E223" s="54"/>
      <c r="F223" s="54"/>
      <c r="G223" s="191"/>
      <c r="I223" s="54"/>
      <c r="J223" s="159"/>
      <c r="K223" s="19"/>
      <c r="L223" s="19" t="s">
        <v>174</v>
      </c>
      <c r="M223" s="19" t="s">
        <v>206</v>
      </c>
      <c r="N223" s="54" t="str">
        <f>CONCATENATE("q",$I$14, "_",$I$27,"b")</f>
        <v>q16205_4b</v>
      </c>
      <c r="O223" s="312" t="str">
        <f>CONCATENATE(SUBSTITUTE(N223, "q",""), ". ", SUBSTITUTE($E$14, "]الحيوانات[",$E$27))</f>
        <v xml:space="preserve">16205_4b. من الشخص المسؤول عن رعاية الخراف في الأسرة؟ الفرد الثاني </v>
      </c>
      <c r="P223" s="117" t="str">
        <f>CONCATENATE(N223, ". ", SUBSTITUTE($B$14, "[animal]",$B$27))</f>
        <v>q16205_4b. Who is the person who takes care of the  Sheep? Second member</v>
      </c>
      <c r="Q223" s="117"/>
      <c r="R223" s="117"/>
      <c r="S223" s="31" t="str">
        <f>CONCATENATE($K222, " &amp;&amp; ", $S$6)</f>
        <v>selected(data('q16204_4b'),'1') &amp;&amp;selected(data('q16206_4a'),'1') &amp;&amp; selected(data('q16202_4'),'1') &amp;&amp; selected(data('q16201'),'1') &amp;&amp; data('valid_overall') == 1</v>
      </c>
      <c r="T223" s="117"/>
      <c r="Y223" s="45" t="b">
        <v>1</v>
      </c>
    </row>
    <row r="224" spans="1:25" s="45" customFormat="1">
      <c r="A224" s="117"/>
      <c r="B224" s="54"/>
      <c r="C224" s="54"/>
      <c r="D224" s="117"/>
      <c r="E224" s="54"/>
      <c r="F224" s="54"/>
      <c r="G224" s="191"/>
      <c r="I224" s="54"/>
      <c r="J224" s="88" t="s">
        <v>24</v>
      </c>
      <c r="K224" s="19"/>
      <c r="L224" s="19"/>
      <c r="M224" s="19"/>
      <c r="N224" s="54"/>
      <c r="O224" s="312"/>
      <c r="P224" s="117"/>
      <c r="Q224" s="117"/>
      <c r="R224" s="117"/>
      <c r="S224" s="31"/>
      <c r="T224" s="117"/>
      <c r="V224" s="31"/>
      <c r="W224" s="31"/>
      <c r="X224" s="31"/>
    </row>
    <row r="225" spans="1:25" s="45" customFormat="1">
      <c r="A225" s="117"/>
      <c r="B225" s="175"/>
      <c r="C225" s="175"/>
      <c r="D225" s="117"/>
      <c r="I225" s="54"/>
      <c r="J225" s="178" t="s">
        <v>23</v>
      </c>
      <c r="K225" s="54" t="str">
        <f>K217</f>
        <v>selected(data('q16206_4a'),'1') &amp;&amp; selected(data('q16202_4'),'1') &amp;&amp; selected(data('q16201'),'1')</v>
      </c>
      <c r="L225" s="174"/>
      <c r="M225" s="174"/>
      <c r="N225" s="174"/>
      <c r="O225" s="312"/>
      <c r="P225" s="117"/>
      <c r="Q225" s="117"/>
      <c r="R225" s="117"/>
      <c r="S225" s="117"/>
      <c r="T225" s="117"/>
      <c r="W225" s="117"/>
      <c r="X225" s="117"/>
    </row>
    <row r="226" spans="1:25" s="45" customFormat="1">
      <c r="A226" s="117"/>
      <c r="B226" s="175"/>
      <c r="C226" s="175"/>
      <c r="D226" s="117"/>
      <c r="I226" s="54"/>
      <c r="J226" s="44" t="s">
        <v>20</v>
      </c>
      <c r="K226" s="54"/>
      <c r="L226" s="174"/>
      <c r="M226" s="174"/>
      <c r="N226" s="174"/>
      <c r="O226" s="312"/>
      <c r="P226" s="117"/>
      <c r="Q226" s="117"/>
      <c r="R226" s="117"/>
      <c r="S226" s="117"/>
      <c r="T226" s="117"/>
      <c r="W226" s="117"/>
      <c r="X226" s="117"/>
    </row>
    <row r="227" spans="1:25" s="45" customFormat="1">
      <c r="A227" s="117"/>
      <c r="B227" s="175"/>
      <c r="C227" s="175"/>
      <c r="D227" s="117"/>
      <c r="I227" s="54"/>
      <c r="J227" s="176" t="s">
        <v>23</v>
      </c>
      <c r="K227" s="54" t="str">
        <f>K222</f>
        <v>selected(data('q16204_4b'),'1') &amp;&amp;selected(data('q16206_4a'),'1') &amp;&amp; selected(data('q16202_4'),'1') &amp;&amp; selected(data('q16201'),'1')</v>
      </c>
      <c r="L227" s="174"/>
      <c r="M227" s="174"/>
      <c r="N227" s="174"/>
      <c r="O227" s="312"/>
      <c r="P227" s="117"/>
      <c r="Q227" s="117"/>
      <c r="R227" s="117"/>
      <c r="S227" s="117"/>
      <c r="T227" s="117"/>
      <c r="W227" s="117"/>
      <c r="X227" s="117"/>
    </row>
    <row r="228" spans="1:25" s="45" customFormat="1" ht="105">
      <c r="A228" s="117"/>
      <c r="B228" s="175"/>
      <c r="C228" s="175"/>
      <c r="D228" s="117"/>
      <c r="I228" s="54"/>
      <c r="J228" s="44"/>
      <c r="K228" s="54"/>
      <c r="L228" s="174" t="s">
        <v>413</v>
      </c>
      <c r="M228" s="174" t="str">
        <f>CONCATENATE(M223,"_line_",N223)</f>
        <v>roster_line_q16205_4b</v>
      </c>
      <c r="N228" s="174" t="str">
        <f>CONCATENATE(N223,"_1")</f>
        <v>q16205_4b_1</v>
      </c>
      <c r="O228" s="312"/>
      <c r="P228" s="117"/>
      <c r="Q228" s="117"/>
      <c r="R228" s="117"/>
      <c r="S228" s="117" t="str">
        <f>S223</f>
        <v>selected(data('q16204_4b'),'1') &amp;&amp;selected(data('q16206_4a'),'1') &amp;&amp; selected(data('q16202_4'),'1') &amp;&amp; selected(data('q16201'),'1') &amp;&amp; data('valid_overall') == 1</v>
      </c>
      <c r="T228" s="117"/>
      <c r="V228" s="31" t="str">
        <f>CONCATENATE("(data('",N212,"') != data('",N228,"')) || selected(data('",N214,"'), '2')   || selected(data('",N204,"'), '2')  || selected(data('",N219,"'), '2')  || selected(data('",N200,"'), '2') || selected(data('",$N$6,"'),'2') || data('valid_overall') == 0")</f>
        <v>(data('q16205_4a_1') != data('q16205_4b_1')) || selected(data('q16206_4a'), '2')   || selected(data('q16204_4a'), '2')  || selected(data('q16204_4b'), '2')  || selected(data('q16202_4'), '2') || selected(data('q16201'),'2') || data('valid_overall') == 0</v>
      </c>
      <c r="W228" s="31" t="s">
        <v>1033</v>
      </c>
      <c r="X228" s="31" t="s">
        <v>555</v>
      </c>
      <c r="Y228" s="45" t="b">
        <v>1</v>
      </c>
    </row>
    <row r="229" spans="1:25" s="45" customFormat="1">
      <c r="A229" s="117"/>
      <c r="B229" s="175"/>
      <c r="C229" s="175"/>
      <c r="D229" s="117"/>
      <c r="I229" s="54"/>
      <c r="J229" s="176" t="s">
        <v>24</v>
      </c>
      <c r="K229" s="54"/>
      <c r="L229" s="174"/>
      <c r="M229" s="174"/>
      <c r="N229" s="174"/>
      <c r="O229" s="312"/>
      <c r="P229" s="117"/>
      <c r="Q229" s="117"/>
      <c r="R229" s="117"/>
      <c r="S229" s="117"/>
      <c r="T229" s="117"/>
      <c r="W229" s="117"/>
      <c r="X229" s="117"/>
    </row>
    <row r="230" spans="1:25" s="45" customFormat="1" ht="60">
      <c r="A230" s="117"/>
      <c r="B230" s="175"/>
      <c r="C230" s="175"/>
      <c r="D230" s="117"/>
      <c r="I230" s="54"/>
      <c r="K230" s="54"/>
      <c r="L230" s="174" t="s">
        <v>18</v>
      </c>
      <c r="M230" s="19" t="s">
        <v>17</v>
      </c>
      <c r="N230" s="54" t="str">
        <f>CONCATENATE("q",$I$15, "_",$I$27,"b")</f>
        <v>q16206_4b</v>
      </c>
      <c r="O230" s="312" t="str">
        <f>CONCATENATE(SUBSTITUTE(N230, "q",""),, ". ", SUBSTITUTE($E$15, "]الحيوانات[",$E$27))</f>
        <v>16206_4b. هل هناك شخص آخر يرعى الخراف؟</v>
      </c>
      <c r="P230" s="117" t="str">
        <f>CONCATENATE(N230, ". ", SUBSTITUTE($B$15, "[animal]",$B$27))</f>
        <v>q16206_4b. Is there another person who takes care of the  Sheep?</v>
      </c>
      <c r="Q230" s="117"/>
      <c r="R230" s="117"/>
      <c r="S230" s="31" t="str">
        <f>CONCATENATE($K225, " &amp;&amp; ", $S$6)</f>
        <v>selected(data('q16206_4a'),'1') &amp;&amp; selected(data('q16202_4'),'1') &amp;&amp; selected(data('q16201'),'1') &amp;&amp; data('valid_overall') == 1</v>
      </c>
      <c r="T230" s="117"/>
      <c r="W230" s="117"/>
      <c r="X230" s="117"/>
      <c r="Y230" s="45" t="b">
        <v>1</v>
      </c>
    </row>
    <row r="231" spans="1:25" s="45" customFormat="1">
      <c r="A231" s="117"/>
      <c r="B231" s="175"/>
      <c r="C231" s="175"/>
      <c r="D231" s="117"/>
      <c r="I231" s="54"/>
      <c r="J231" s="45" t="s">
        <v>21</v>
      </c>
      <c r="K231" s="54"/>
      <c r="L231" s="174"/>
      <c r="M231" s="19"/>
      <c r="N231" s="54"/>
      <c r="O231" s="312"/>
      <c r="P231" s="117"/>
      <c r="Q231" s="117"/>
      <c r="R231" s="117"/>
      <c r="S231" s="31"/>
      <c r="T231" s="117"/>
      <c r="W231" s="117"/>
      <c r="X231" s="117"/>
    </row>
    <row r="232" spans="1:25" s="45" customFormat="1">
      <c r="A232" s="117"/>
      <c r="B232" s="175"/>
      <c r="C232" s="175"/>
      <c r="D232" s="117"/>
      <c r="I232" s="54"/>
      <c r="J232" s="178" t="s">
        <v>24</v>
      </c>
      <c r="K232" s="54"/>
      <c r="L232" s="174"/>
      <c r="M232" s="19"/>
      <c r="N232" s="54"/>
      <c r="O232" s="312" t="s">
        <v>471</v>
      </c>
      <c r="P232" s="117"/>
      <c r="Q232" s="117"/>
      <c r="R232" s="117"/>
      <c r="S232" s="31"/>
      <c r="T232" s="117"/>
      <c r="W232" s="117"/>
      <c r="X232" s="117"/>
    </row>
    <row r="233" spans="1:25" s="45" customFormat="1">
      <c r="A233" s="117"/>
      <c r="B233" s="175"/>
      <c r="C233" s="175"/>
      <c r="D233" s="117"/>
      <c r="I233" s="54"/>
      <c r="J233" s="178" t="s">
        <v>23</v>
      </c>
      <c r="K233" s="44" t="str">
        <f>CONCATENATE("selected(data('",N230,"'),'1') &amp;&amp; ", K225)</f>
        <v>selected(data('q16206_4b'),'1') &amp;&amp; selected(data('q16206_4a'),'1') &amp;&amp; selected(data('q16202_4'),'1') &amp;&amp; selected(data('q16201'),'1')</v>
      </c>
      <c r="L233" s="174"/>
      <c r="M233" s="174"/>
      <c r="N233" s="54"/>
      <c r="O233" s="312"/>
      <c r="P233" s="117"/>
      <c r="Q233" s="117"/>
      <c r="R233" s="117"/>
      <c r="S233" s="117"/>
      <c r="T233" s="117"/>
      <c r="W233" s="117"/>
      <c r="X233" s="117"/>
    </row>
    <row r="234" spans="1:25" s="45" customFormat="1" ht="75">
      <c r="A234" s="117"/>
      <c r="B234" s="175"/>
      <c r="C234" s="175"/>
      <c r="D234" s="117"/>
      <c r="I234" s="54"/>
      <c r="K234" s="54"/>
      <c r="L234" s="174" t="s">
        <v>18</v>
      </c>
      <c r="M234" s="19" t="s">
        <v>17</v>
      </c>
      <c r="N234" s="54" t="str">
        <f>CONCATENATE("q",$I$16, "_",$I$27,"c")</f>
        <v>q16204_4c</v>
      </c>
      <c r="O234" s="312" t="str">
        <f>CONCATENATE(SUBSTITUTE(N234, "q",""),, ". ", SUBSTITUTE($E$16, "]الحيوانات[",$E$27))</f>
        <v>16204_4c. هل الشخص الثالث الذي يرعى الخراف هو أحد أفراد الأسرة؟</v>
      </c>
      <c r="P234" s="117" t="str">
        <f>CONCATENATE(N234, ". ", SUBSTITUTE($B$16, "[animal]",$B$27))</f>
        <v>q16204_4c. Is the third person who takes care of the  Sheep a member of the household?</v>
      </c>
      <c r="Q234" s="117"/>
      <c r="R234" s="117"/>
      <c r="S234" s="31" t="str">
        <f>CONCATENATE($K233, " &amp;&amp; ", $S$6)</f>
        <v>selected(data('q16206_4b'),'1') &amp;&amp; selected(data('q16206_4a'),'1') &amp;&amp; selected(data('q16202_4'),'1') &amp;&amp; selected(data('q16201'),'1') &amp;&amp; data('valid_overall') == 1</v>
      </c>
      <c r="T234" s="117"/>
      <c r="W234" s="117"/>
      <c r="X234" s="117"/>
      <c r="Y234" s="45" t="b">
        <v>1</v>
      </c>
    </row>
    <row r="235" spans="1:25" s="45" customFormat="1">
      <c r="A235" s="117"/>
      <c r="B235" s="175"/>
      <c r="C235" s="175"/>
      <c r="D235" s="117"/>
      <c r="I235" s="54"/>
      <c r="J235" s="178" t="s">
        <v>24</v>
      </c>
      <c r="K235" s="54"/>
      <c r="L235" s="174"/>
      <c r="M235" s="19"/>
      <c r="N235" s="54"/>
      <c r="O235" s="312"/>
      <c r="P235" s="117"/>
      <c r="Q235" s="117"/>
      <c r="R235" s="117"/>
      <c r="S235" s="31"/>
      <c r="T235" s="117"/>
      <c r="W235" s="117"/>
      <c r="X235" s="117"/>
    </row>
    <row r="236" spans="1:25" s="45" customFormat="1">
      <c r="A236" s="117"/>
      <c r="B236" s="175"/>
      <c r="C236" s="175"/>
      <c r="D236" s="117"/>
      <c r="I236" s="54"/>
      <c r="J236" s="178" t="s">
        <v>23</v>
      </c>
      <c r="K236" s="44" t="str">
        <f>CONCATENATE("selected(data('",N234,"'),'1') &amp;&amp; ", K233)</f>
        <v>selected(data('q16204_4c'),'1') &amp;&amp; selected(data('q16206_4b'),'1') &amp;&amp; selected(data('q16206_4a'),'1') &amp;&amp; selected(data('q16202_4'),'1') &amp;&amp; selected(data('q16201'),'1')</v>
      </c>
      <c r="L236" s="174"/>
      <c r="M236" s="174"/>
      <c r="N236" s="54"/>
      <c r="O236" s="312"/>
      <c r="P236" s="117"/>
      <c r="Q236" s="117"/>
      <c r="R236" s="117"/>
      <c r="S236" s="117"/>
      <c r="T236" s="117"/>
      <c r="W236" s="117"/>
      <c r="X236" s="117"/>
    </row>
    <row r="237" spans="1:25" s="45" customFormat="1" ht="90">
      <c r="A237" s="117"/>
      <c r="B237" s="54"/>
      <c r="C237" s="54"/>
      <c r="D237" s="117"/>
      <c r="E237" s="54"/>
      <c r="F237" s="54"/>
      <c r="G237" s="191"/>
      <c r="I237" s="54"/>
      <c r="J237" s="197"/>
      <c r="K237" s="19"/>
      <c r="L237" s="19" t="s">
        <v>174</v>
      </c>
      <c r="M237" s="19" t="s">
        <v>206</v>
      </c>
      <c r="N237" s="54" t="str">
        <f>CONCATENATE("q",$I$17, "_",$I$27,"c")</f>
        <v>q16205_4c</v>
      </c>
      <c r="O237" s="312" t="str">
        <f>CONCATENATE(N237, ". ", SUBSTITUTE($E$16, "]الحيوانات[",$E$27))</f>
        <v>q16205_4c. هل الشخص الثالث الذي يرعى الخراف هو أحد أفراد الأسرة؟</v>
      </c>
      <c r="P237" s="117" t="str">
        <f>CONCATENATE(N237, ". ", SUBSTITUTE($B$17, "[animal]",$B$27))</f>
        <v>q16205_4c. Who is the person who takes care of the  Sheep? Third member</v>
      </c>
      <c r="Q237" s="117"/>
      <c r="R237" s="117"/>
      <c r="S237" s="31" t="str">
        <f>CONCATENATE($K236, " &amp;&amp; ",$S$6)</f>
        <v>selected(data('q16204_4c'),'1') &amp;&amp; selected(data('q16206_4b'),'1') &amp;&amp; selected(data('q16206_4a'),'1') &amp;&amp; selected(data('q16202_4'),'1') &amp;&amp; selected(data('q16201'),'1') &amp;&amp; data('valid_overall') == 1</v>
      </c>
      <c r="T237" s="117"/>
      <c r="Y237" s="45" t="b">
        <v>1</v>
      </c>
    </row>
    <row r="238" spans="1:25" s="404" customFormat="1">
      <c r="I238" s="18"/>
      <c r="L238" s="18"/>
      <c r="O238" s="70"/>
      <c r="P238" s="30"/>
      <c r="Q238" s="30"/>
      <c r="R238" s="30"/>
      <c r="S238" s="30"/>
      <c r="T238" s="30"/>
    </row>
    <row r="239" spans="1:25" s="45" customFormat="1">
      <c r="A239" s="117"/>
      <c r="B239" s="54"/>
      <c r="C239" s="54"/>
      <c r="D239" s="117"/>
      <c r="E239" s="54"/>
      <c r="F239" s="54"/>
      <c r="G239" s="191"/>
      <c r="I239" s="54"/>
      <c r="J239" s="88" t="s">
        <v>42</v>
      </c>
      <c r="K239" s="64"/>
      <c r="L239" s="19"/>
      <c r="M239" s="64"/>
      <c r="N239" s="64"/>
      <c r="O239" s="407"/>
      <c r="P239" s="31"/>
      <c r="Q239" s="117"/>
      <c r="R239" s="117"/>
      <c r="S239" s="117"/>
      <c r="T239" s="117"/>
    </row>
    <row r="240" spans="1:25" s="45" customFormat="1">
      <c r="A240" s="117"/>
      <c r="B240" s="54"/>
      <c r="C240" s="54"/>
      <c r="D240" s="117"/>
      <c r="E240" s="54"/>
      <c r="F240" s="54"/>
      <c r="G240" s="191"/>
      <c r="I240" s="54"/>
      <c r="J240" s="88" t="s">
        <v>23</v>
      </c>
      <c r="K240" s="64" t="str">
        <f>K202</f>
        <v>selected(data('q16202_4'),'1') &amp;&amp; selected(data('q16201'),'1')</v>
      </c>
      <c r="L240" s="19"/>
      <c r="M240" s="64"/>
      <c r="N240" s="64"/>
      <c r="O240" s="407"/>
      <c r="P240" s="31"/>
      <c r="Q240" s="117"/>
      <c r="R240" s="117"/>
      <c r="S240" s="117"/>
      <c r="T240" s="117"/>
    </row>
    <row r="241" spans="1:25" s="45" customFormat="1">
      <c r="A241" s="117"/>
      <c r="B241" s="54"/>
      <c r="C241" s="54"/>
      <c r="D241" s="117"/>
      <c r="E241" s="54"/>
      <c r="F241" s="54"/>
      <c r="G241" s="191"/>
      <c r="I241" s="54"/>
      <c r="J241" s="405" t="s">
        <v>20</v>
      </c>
      <c r="K241" s="64"/>
      <c r="L241" s="19"/>
      <c r="M241" s="64"/>
      <c r="N241" s="64"/>
      <c r="O241" s="407"/>
      <c r="P241" s="31"/>
      <c r="Q241" s="117"/>
      <c r="R241" s="117"/>
      <c r="S241" s="117"/>
      <c r="T241" s="117"/>
    </row>
    <row r="242" spans="1:25" s="45" customFormat="1">
      <c r="A242" s="117"/>
      <c r="B242" s="54"/>
      <c r="C242" s="54"/>
      <c r="D242" s="117"/>
      <c r="E242" s="54"/>
      <c r="F242" s="54"/>
      <c r="G242" s="191"/>
      <c r="I242" s="54"/>
      <c r="J242" s="66" t="s">
        <v>23</v>
      </c>
      <c r="K242" s="64" t="str">
        <f>K236</f>
        <v>selected(data('q16204_4c'),'1') &amp;&amp; selected(data('q16206_4b'),'1') &amp;&amp; selected(data('q16206_4a'),'1') &amp;&amp; selected(data('q16202_4'),'1') &amp;&amp; selected(data('q16201'),'1')</v>
      </c>
      <c r="L242" s="19"/>
      <c r="M242" s="64"/>
      <c r="N242" s="64"/>
      <c r="O242" s="407"/>
      <c r="P242" s="31"/>
      <c r="Q242" s="117"/>
      <c r="R242" s="117"/>
      <c r="S242" s="117"/>
      <c r="T242" s="117"/>
    </row>
    <row r="243" spans="1:25" s="45" customFormat="1" ht="255">
      <c r="A243" s="117"/>
      <c r="B243" s="175"/>
      <c r="C243" s="175"/>
      <c r="D243" s="117"/>
      <c r="I243" s="54"/>
      <c r="J243" s="176"/>
      <c r="K243" s="54"/>
      <c r="L243" s="174" t="s">
        <v>413</v>
      </c>
      <c r="M243" s="174" t="str">
        <f>CONCATENATE(M237,"_line_",N237)</f>
        <v>roster_line_q16205_4c</v>
      </c>
      <c r="N243" s="174" t="str">
        <f>CONCATENATE(N237,"_1")</f>
        <v>q16205_4c_1</v>
      </c>
      <c r="O243" s="312"/>
      <c r="P243" s="117"/>
      <c r="Q243" s="117"/>
      <c r="R243" s="117"/>
      <c r="S243" s="117" t="str">
        <f>S237</f>
        <v>selected(data('q16204_4c'),'1') &amp;&amp; selected(data('q16206_4b'),'1') &amp;&amp; selected(data('q16206_4a'),'1') &amp;&amp; selected(data('q16202_4'),'1') &amp;&amp; selected(data('q16201'),'1') &amp;&amp; data('valid_overall') == 1</v>
      </c>
      <c r="T243" s="117"/>
      <c r="V243" s="31" t="str">
        <f>CONCATENATE(" (((data('",N212,"') != data('",N228,"')) || selected(data('",N214,"'), '2')   || selected(data('",N204,"'), '2')  || selected(data('",N219,"'), '2')) &amp;&amp; ((data('",N228,"') != data('",N243,"'))  || selected(data('",N214,"'), '2') || selected(data('",N230,"'), '2')   || selected(data('",N219,"'), '2')  || selected(data('",N234,"'), '2'))   &amp;&amp; ((data('",N212,"') != data('",N243,"'))  || selected(data('",N214,"'), '2')|| selected(data('",N234,"'), '2')   || selected(data('",N204,"'), '2')  || selected(data('",N234,"'), '2'))  )  || selected(data('",N200,"'), '2') || selected(data('",$N$6,"'),'2') || data('valid_overall') == 0")</f>
        <v xml:space="preserve"> (((data('q16205_4a_1') != data('q16205_4b_1')) || selected(data('q16206_4a'), '2')   || selected(data('q16204_4a'), '2')  || selected(data('q16204_4b'), '2')) &amp;&amp; ((data('q16205_4b_1') != data('q16205_4c_1'))  || selected(data('q16206_4a'), '2') || selected(data('q16206_4b'), '2')   || selected(data('q16204_4b'), '2')  || selected(data('q16204_4c'), '2'))   &amp;&amp; ((data('q16205_4a_1') != data('q16205_4c_1'))  || selected(data('q16206_4a'), '2')|| selected(data('q16204_4c'), '2')   || selected(data('q16204_4a'), '2')  || selected(data('q16204_4c'), '2'))  )  || selected(data('q16202_4'), '2') || selected(data('q16201'),'2') || data('valid_overall') == 0</v>
      </c>
      <c r="W243" s="31" t="s">
        <v>1033</v>
      </c>
      <c r="X243" s="31" t="s">
        <v>555</v>
      </c>
      <c r="Y243" s="45" t="b">
        <v>1</v>
      </c>
    </row>
    <row r="244" spans="1:25" s="45" customFormat="1">
      <c r="A244" s="117"/>
      <c r="B244" s="54"/>
      <c r="C244" s="54"/>
      <c r="D244" s="117"/>
      <c r="E244" s="54"/>
      <c r="F244" s="54"/>
      <c r="G244" s="191"/>
      <c r="I244" s="54"/>
      <c r="J244" s="66" t="s">
        <v>24</v>
      </c>
      <c r="K244" s="64"/>
      <c r="L244" s="19"/>
      <c r="M244" s="64"/>
      <c r="N244" s="64"/>
      <c r="O244" s="407"/>
      <c r="P244" s="31"/>
      <c r="Q244" s="117"/>
      <c r="R244" s="117"/>
      <c r="S244" s="117"/>
      <c r="T244" s="117"/>
    </row>
    <row r="245" spans="1:25" s="45" customFormat="1" ht="60">
      <c r="A245" s="117"/>
      <c r="B245" s="117"/>
      <c r="C245" s="117"/>
      <c r="D245" s="117"/>
      <c r="E245" s="118"/>
      <c r="F245" s="118"/>
      <c r="G245" s="191"/>
      <c r="I245" s="54"/>
      <c r="J245" s="192"/>
      <c r="L245" s="54" t="s">
        <v>18</v>
      </c>
      <c r="M245" s="45" t="s">
        <v>17</v>
      </c>
      <c r="N245" s="45" t="str">
        <f>CONCATENATE("q",$I$18, "_",$I$27)</f>
        <v>q16207_4</v>
      </c>
      <c r="O245" s="312" t="str">
        <f>CONCATENATE(N245, ". ", SUBSTITUTE($E$18, "]الحيوانات[",$E$27))</f>
        <v>q16207_4. خلال الـ12 شهر الماضية، هل قمت استهلكت أي من الخراف؟</v>
      </c>
      <c r="P245" s="117" t="str">
        <f>CONCATENATE(N245, ". ", SUBSTITUTE($B$18, "[animal]",$B$27))</f>
        <v>q16207_4. During the past 12 months have you consumed any of the  Sheep?</v>
      </c>
      <c r="Q245" s="117"/>
      <c r="R245" s="117"/>
      <c r="S245" s="31" t="str">
        <f>CONCATENATE($K202, " &amp;&amp; ", $S$6)</f>
        <v>selected(data('q16202_4'),'1') &amp;&amp; selected(data('q16201'),'1') &amp;&amp; data('valid_overall') == 1</v>
      </c>
      <c r="T245" s="117"/>
      <c r="Y245" s="45" t="b">
        <v>1</v>
      </c>
    </row>
    <row r="246" spans="1:25" s="45" customFormat="1">
      <c r="A246" s="117"/>
      <c r="B246" s="117"/>
      <c r="C246" s="117"/>
      <c r="D246" s="117"/>
      <c r="E246" s="118"/>
      <c r="F246" s="118"/>
      <c r="G246" s="191"/>
      <c r="I246" s="54"/>
      <c r="J246" s="44" t="s">
        <v>21</v>
      </c>
      <c r="L246" s="54"/>
      <c r="O246" s="312"/>
      <c r="P246" s="117"/>
      <c r="Q246" s="117"/>
      <c r="R246" s="117"/>
      <c r="S246" s="31"/>
      <c r="T246" s="117"/>
    </row>
    <row r="247" spans="1:25" s="45" customFormat="1" ht="45">
      <c r="A247" s="117"/>
      <c r="B247" s="117"/>
      <c r="C247" s="117"/>
      <c r="D247" s="117"/>
      <c r="E247" s="118"/>
      <c r="F247" s="118"/>
      <c r="G247" s="191"/>
      <c r="I247" s="54"/>
      <c r="J247" s="192"/>
      <c r="L247" s="54" t="s">
        <v>18</v>
      </c>
      <c r="M247" s="45" t="s">
        <v>17</v>
      </c>
      <c r="N247" s="45" t="str">
        <f>CONCATENATE("q",$I$19, "_",$I$27)</f>
        <v>q16208_4</v>
      </c>
      <c r="O247" s="312" t="str">
        <f>CONCATENATE(N247, ". ", SUBSTITUTE($E$19, "]الحيوانات[",$E$27))</f>
        <v>q16208_4. خلال الـ12 شهر الماضية، هل قمت ببيع أي من الخراف؟</v>
      </c>
      <c r="P247" s="117" t="str">
        <f>CONCATENATE(N247, ". ", SUBSTITUTE($B$19, "[animal]",$B$27))</f>
        <v>q16208_4. During the past 12 months have you sold any of the  Sheep?</v>
      </c>
      <c r="Q247" s="117"/>
      <c r="R247" s="117"/>
      <c r="S247" s="31" t="str">
        <f>CONCATENATE($K202, " &amp;&amp; ", $S$6)</f>
        <v>selected(data('q16202_4'),'1') &amp;&amp; selected(data('q16201'),'1') &amp;&amp; data('valid_overall') == 1</v>
      </c>
      <c r="T247" s="117"/>
      <c r="Y247" s="45" t="b">
        <v>1</v>
      </c>
    </row>
    <row r="248" spans="1:25" s="45" customFormat="1">
      <c r="A248" s="117"/>
      <c r="B248" s="117"/>
      <c r="C248" s="117"/>
      <c r="D248" s="117"/>
      <c r="E248" s="118"/>
      <c r="F248" s="118"/>
      <c r="G248" s="191"/>
      <c r="I248" s="54"/>
      <c r="J248" s="178" t="s">
        <v>24</v>
      </c>
      <c r="L248" s="54"/>
      <c r="O248" s="312"/>
      <c r="P248" s="117"/>
      <c r="Q248" s="117"/>
      <c r="R248" s="117"/>
      <c r="S248" s="31"/>
      <c r="T248" s="117"/>
    </row>
    <row r="249" spans="1:25" s="45" customFormat="1">
      <c r="B249" s="117"/>
      <c r="C249" s="117"/>
      <c r="D249" s="54"/>
      <c r="E249" s="117"/>
      <c r="F249" s="117"/>
      <c r="G249" s="54"/>
      <c r="H249" s="191"/>
      <c r="I249" s="54"/>
      <c r="J249" s="178" t="s">
        <v>23</v>
      </c>
      <c r="K249" s="45" t="str">
        <f>CONCATENATE("selected(data('",N247,"'),'1') &amp;&amp; ",K240)</f>
        <v>selected(data('q16208_4'),'1') &amp;&amp; selected(data('q16202_4'),'1') &amp;&amp; selected(data('q16201'),'1')</v>
      </c>
      <c r="L249" s="54"/>
      <c r="O249" s="312"/>
      <c r="P249" s="117"/>
      <c r="Q249" s="117"/>
      <c r="R249" s="117"/>
      <c r="S249" s="117"/>
      <c r="T249" s="117"/>
    </row>
    <row r="250" spans="1:25" s="45" customFormat="1" ht="60">
      <c r="B250" s="117"/>
      <c r="C250" s="117"/>
      <c r="D250" s="54"/>
      <c r="E250" s="117"/>
      <c r="F250" s="117"/>
      <c r="G250" s="54"/>
      <c r="H250" s="191"/>
      <c r="I250" s="54"/>
      <c r="J250" s="193"/>
      <c r="L250" s="54" t="s">
        <v>19</v>
      </c>
      <c r="N250" s="45" t="str">
        <f>CONCATENATE("q",$I$20, "_",$I$27)</f>
        <v>q16209_4</v>
      </c>
      <c r="O250" s="312" t="str">
        <f>CONCATENATE(N250, ". ", SUBSTITUTE($E$20,  "]الحيوانات[",$E$27))</f>
        <v>q16209_4. كم عدد الخراف  الذى تم بيعه؟</v>
      </c>
      <c r="P250" s="190" t="str">
        <f>CONCATENATE(N250, ". ", SUBSTITUTE($B$20, "[animal]",$B$27))</f>
        <v>q16209_4. How many  Sheep have been sold?</v>
      </c>
      <c r="Q250" s="31" t="str">
        <f>$F$20</f>
        <v xml:space="preserve"> في حالة لا أعرف سجل  98</v>
      </c>
      <c r="R250" s="31" t="str">
        <f>$C$20</f>
        <v>*If don't know, write 98</v>
      </c>
      <c r="S250" s="31" t="str">
        <f>CONCATENATE($K249," &amp;&amp; ", $S$6)</f>
        <v>selected(data('q16208_4'),'1') &amp;&amp; selected(data('q16202_4'),'1') &amp;&amp; selected(data('q16201'),'1') &amp;&amp; data('valid_overall') == 1</v>
      </c>
      <c r="T250" s="31"/>
      <c r="Y250" s="45" t="b">
        <v>1</v>
      </c>
    </row>
    <row r="251" spans="1:25" s="45" customFormat="1" ht="60">
      <c r="B251" s="117"/>
      <c r="C251" s="117"/>
      <c r="D251" s="54"/>
      <c r="E251" s="117"/>
      <c r="F251" s="117"/>
      <c r="G251" s="54"/>
      <c r="H251" s="191"/>
      <c r="I251" s="54"/>
      <c r="J251" s="193"/>
      <c r="L251" s="54" t="s">
        <v>19</v>
      </c>
      <c r="N251" s="45" t="str">
        <f>CONCATENATE("q",$I$21, "_",$I$27)</f>
        <v>q16210_4</v>
      </c>
      <c r="O251" s="312" t="str">
        <f>CONCATENATE(N251, ". ", SUBSTITUTE($E$21,  "]الحيوانات[",$E$27))</f>
        <v xml:space="preserve">q16210_4. ما  قيمة البيع الإجمالية من الخراف  ؟ (بالجنيه)
</v>
      </c>
      <c r="P251" s="190" t="str">
        <f>CONCATENATE(N251, ". ", SUBSTITUTE($B$21, "[animal]",$B$27))</f>
        <v>q16210_4. What was the total value of the sales of  Sheep ? (in pounds)</v>
      </c>
      <c r="Q251" s="31" t="str">
        <f>$F$21</f>
        <v>في حالة لا أعرف سجل 999998</v>
      </c>
      <c r="R251" s="31" t="str">
        <f>$C$21</f>
        <v xml:space="preserve"> *If don't know, write 999998</v>
      </c>
      <c r="S251" s="31" t="str">
        <f>CONCATENATE($K249," &amp;&amp; ", $S$6)</f>
        <v>selected(data('q16208_4'),'1') &amp;&amp; selected(data('q16202_4'),'1') &amp;&amp; selected(data('q16201'),'1') &amp;&amp; data('valid_overall') == 1</v>
      </c>
      <c r="T251" s="31"/>
      <c r="Y251" s="45" t="b">
        <v>1</v>
      </c>
    </row>
    <row r="252" spans="1:25" s="45" customFormat="1">
      <c r="B252" s="117"/>
      <c r="C252" s="117"/>
      <c r="E252" s="117"/>
      <c r="F252" s="117"/>
      <c r="H252" s="191"/>
      <c r="I252" s="54"/>
      <c r="J252" s="178" t="s">
        <v>42</v>
      </c>
      <c r="L252" s="54"/>
      <c r="O252" s="312"/>
      <c r="P252" s="117"/>
      <c r="Q252" s="117"/>
      <c r="R252" s="117"/>
      <c r="S252" s="117"/>
      <c r="T252" s="117"/>
    </row>
    <row r="253" spans="1:25" s="249" customFormat="1">
      <c r="B253" s="250"/>
      <c r="C253" s="250"/>
      <c r="E253" s="250"/>
      <c r="F253" s="250"/>
      <c r="H253" s="251" t="s">
        <v>792</v>
      </c>
      <c r="I253" s="253"/>
      <c r="J253" s="252"/>
      <c r="L253" s="253"/>
      <c r="O253" s="330"/>
      <c r="P253" s="250"/>
      <c r="Q253" s="250"/>
      <c r="R253" s="250"/>
      <c r="S253" s="250"/>
      <c r="T253" s="250"/>
      <c r="W253" s="45"/>
    </row>
    <row r="254" spans="1:25" s="31" customFormat="1">
      <c r="I254" s="19"/>
      <c r="J254" s="88" t="s">
        <v>23</v>
      </c>
      <c r="K254" s="64" t="str">
        <f>CONCATENATE("selected(data('",$N$6,"'),'1')")</f>
        <v>selected(data('q16201'),'1')</v>
      </c>
      <c r="O254" s="407"/>
    </row>
    <row r="255" spans="1:25" s="45" customFormat="1" ht="60">
      <c r="B255" s="117"/>
      <c r="C255" s="117"/>
      <c r="D255" s="117"/>
      <c r="E255" s="117"/>
      <c r="F255" s="117"/>
      <c r="G255" s="118"/>
      <c r="I255" s="54"/>
      <c r="L255" s="54" t="s">
        <v>18</v>
      </c>
      <c r="M255" s="45" t="s">
        <v>17</v>
      </c>
      <c r="N255" s="45" t="str">
        <f>CONCATENATE("q",$I$8, "_",$I$28)</f>
        <v>q16202_5</v>
      </c>
      <c r="O255" s="312" t="str">
        <f>CONCATENATE(SUBSTITUTE(N255, "q",""), ". ", SUBSTITUTE($E$8, "]الحيوانات[",$E$28))</f>
        <v>16202_5. هل تمتلك الأسرة أو أي من أفرادها أي الجمال؟</v>
      </c>
      <c r="P255" s="190" t="str">
        <f>CONCATENATE(N255, ". ", SUBSTITUTE($B$8, "[animal]",$B$28))</f>
        <v>q16202_5. Does any member of your household currently have any  Camels?</v>
      </c>
      <c r="Q255" s="117"/>
      <c r="R255" s="117"/>
      <c r="S255" s="117" t="str">
        <f>CONCATENATE($K254, " &amp;&amp; ", $S$6)</f>
        <v>selected(data('q16201'),'1') &amp;&amp; data('valid_overall') == 1</v>
      </c>
      <c r="T255" s="117"/>
      <c r="W255" s="117"/>
      <c r="X255" s="117"/>
      <c r="Y255" s="45" t="b">
        <v>1</v>
      </c>
    </row>
    <row r="256" spans="1:25" s="45" customFormat="1">
      <c r="B256" s="117"/>
      <c r="C256" s="117"/>
      <c r="D256" s="117"/>
      <c r="E256" s="117"/>
      <c r="F256" s="117"/>
      <c r="G256" s="118"/>
      <c r="I256" s="54"/>
      <c r="J256" s="178" t="s">
        <v>24</v>
      </c>
      <c r="L256" s="54"/>
      <c r="O256" s="312"/>
      <c r="P256" s="190"/>
      <c r="Q256" s="117"/>
      <c r="R256" s="117"/>
      <c r="S256" s="117"/>
      <c r="T256" s="117"/>
      <c r="W256" s="117"/>
      <c r="X256" s="117"/>
    </row>
    <row r="257" spans="1:25" s="45" customFormat="1">
      <c r="I257" s="15"/>
      <c r="J257" s="178" t="s">
        <v>23</v>
      </c>
      <c r="K257" s="45" t="str">
        <f>CONCATENATE("selected(data('",N255,"'),'1') &amp;&amp; ", K254)</f>
        <v>selected(data('q16202_5'),'1') &amp;&amp; selected(data('q16201'),'1')</v>
      </c>
      <c r="L257" s="54"/>
      <c r="O257" s="312"/>
      <c r="P257" s="117"/>
      <c r="Q257" s="117"/>
      <c r="R257" s="117"/>
      <c r="S257" s="117"/>
      <c r="T257" s="117"/>
    </row>
    <row r="258" spans="1:25" s="45" customFormat="1" ht="60">
      <c r="B258" s="117"/>
      <c r="C258" s="117"/>
      <c r="D258" s="54"/>
      <c r="E258" s="117"/>
      <c r="F258" s="117"/>
      <c r="G258" s="54"/>
      <c r="H258" s="191"/>
      <c r="I258" s="54"/>
      <c r="J258" s="178"/>
      <c r="L258" s="54" t="s">
        <v>19</v>
      </c>
      <c r="N258" s="45" t="str">
        <f>CONCATENATE("q",$I$9, "_",$I$28)</f>
        <v>q16203_5</v>
      </c>
      <c r="O258" s="312" t="str">
        <f>CONCATENATE(SUBSTITUTE(N258, "q",""), ". ", SUBSTITUTE($E$9, "]الحيوانات[",$E$28))</f>
        <v>16203_5. كم عدد الجمال التي تملكها الأسرة خلص أو مشاركة؟</v>
      </c>
      <c r="P258" s="117" t="str">
        <f>CONCATENATE(N258, ". ", SUBSTITUTE($B$9, "[animal]",$B$28))</f>
        <v>q16203_5. How many   Camels does your household currently own entirely or with sharing?</v>
      </c>
      <c r="Q258" s="117"/>
      <c r="R258" s="117"/>
      <c r="S258" s="31" t="str">
        <f>CONCATENATE($K257, " &amp;&amp; ", $S$6)</f>
        <v>selected(data('q16202_5'),'1') &amp;&amp; selected(data('q16201'),'1') &amp;&amp; data('valid_overall') == 1</v>
      </c>
      <c r="T258" s="117"/>
      <c r="Y258" s="45" t="b">
        <v>1</v>
      </c>
    </row>
    <row r="259" spans="1:25" s="45" customFormat="1" ht="60">
      <c r="B259" s="117"/>
      <c r="C259" s="117"/>
      <c r="D259" s="117"/>
      <c r="E259" s="117"/>
      <c r="F259" s="117"/>
      <c r="G259" s="54"/>
      <c r="H259" s="191"/>
      <c r="I259" s="54"/>
      <c r="J259" s="159"/>
      <c r="K259" s="19"/>
      <c r="L259" s="54" t="s">
        <v>18</v>
      </c>
      <c r="M259" s="19" t="s">
        <v>17</v>
      </c>
      <c r="N259" s="54" t="str">
        <f>CONCATENATE("q",$I$10, "_",$I$28,"a")</f>
        <v>q16204_5a</v>
      </c>
      <c r="O259" s="312" t="str">
        <f>CONCATENATE(SUBSTITUTE(N259, "q",""), ". ", SUBSTITUTE($E$10, "]الحيوانات[",$E$28))</f>
        <v>16204_5a. هل الشخص الرئيسي الذي يرعى الجمال هو أحد أفراد الأسرة؟</v>
      </c>
      <c r="P259" s="117" t="str">
        <f>CONCATENATE(N259, ". ", SUBSTITUTE($B$10, "[animal]",$B$28))</f>
        <v>q16204_5a. Is the primary person who takes care of the  Camels a member of the household?</v>
      </c>
      <c r="Q259" s="117"/>
      <c r="R259" s="117"/>
      <c r="S259" s="31" t="str">
        <f>CONCATENATE($K257, " &amp;&amp; ", $S$6)</f>
        <v>selected(data('q16202_5'),'1') &amp;&amp; selected(data('q16201'),'1') &amp;&amp; data('valid_overall') == 1</v>
      </c>
      <c r="T259" s="117"/>
      <c r="Y259" s="45" t="b">
        <v>1</v>
      </c>
    </row>
    <row r="260" spans="1:25" s="45" customFormat="1">
      <c r="B260" s="117"/>
      <c r="C260" s="117"/>
      <c r="D260" s="117"/>
      <c r="E260" s="117"/>
      <c r="F260" s="117"/>
      <c r="G260" s="54"/>
      <c r="H260" s="191"/>
      <c r="I260" s="54"/>
      <c r="J260" s="88" t="s">
        <v>24</v>
      </c>
      <c r="K260" s="19"/>
      <c r="L260" s="54"/>
      <c r="M260" s="19"/>
      <c r="N260" s="54"/>
      <c r="O260" s="312"/>
      <c r="P260" s="117"/>
      <c r="Q260" s="117"/>
      <c r="R260" s="117"/>
      <c r="S260" s="31"/>
      <c r="T260" s="117"/>
    </row>
    <row r="261" spans="1:25" s="45" customFormat="1">
      <c r="B261" s="117"/>
      <c r="C261" s="117"/>
      <c r="D261" s="117"/>
      <c r="E261" s="117"/>
      <c r="F261" s="117"/>
      <c r="G261" s="54"/>
      <c r="H261" s="191"/>
      <c r="I261" s="54"/>
      <c r="J261" s="178" t="s">
        <v>23</v>
      </c>
      <c r="K261" s="44" t="str">
        <f>CONCATENATE("selected(data('",N259,"'),'1') &amp;&amp; ", K257)</f>
        <v>selected(data('q16204_5a'),'1') &amp;&amp; selected(data('q16202_5'),'1') &amp;&amp; selected(data('q16201'),'1')</v>
      </c>
      <c r="L261" s="54"/>
      <c r="M261" s="19"/>
      <c r="N261" s="54"/>
      <c r="O261" s="312"/>
      <c r="P261" s="117"/>
      <c r="Q261" s="117"/>
      <c r="R261" s="117"/>
      <c r="S261" s="117"/>
      <c r="T261" s="117"/>
    </row>
    <row r="262" spans="1:25" s="45" customFormat="1" ht="60">
      <c r="A262" s="117"/>
      <c r="B262" s="54"/>
      <c r="C262" s="54"/>
      <c r="D262" s="117"/>
      <c r="E262" s="54"/>
      <c r="F262" s="54"/>
      <c r="G262" s="191"/>
      <c r="I262" s="54"/>
      <c r="J262" s="159"/>
      <c r="K262" s="19"/>
      <c r="L262" s="19" t="s">
        <v>174</v>
      </c>
      <c r="M262" s="19" t="s">
        <v>206</v>
      </c>
      <c r="N262" s="54" t="str">
        <f>CONCATENATE("q",$I$11, "_",$I$28,"a")</f>
        <v>q16205_5a</v>
      </c>
      <c r="O262" s="312" t="str">
        <f>CONCATENATE(SUBSTITUTE(N262, "q",""),, ". ", SUBSTITUTE($E$11, "]الحيوانات[",$E$28))</f>
        <v>16205_5a. من الشخص المسؤول عن رعاية الجمال في الأسرة؟ أول فرد</v>
      </c>
      <c r="P262" s="117" t="str">
        <f>CONCATENATE(N262, ". ", SUBSTITUTE($B$11, "[animal]",$B$28))</f>
        <v>q16205_5a. Who is the primary person who takes care of the  Camels? First member</v>
      </c>
      <c r="Q262" s="117"/>
      <c r="R262" s="117"/>
      <c r="S262" s="31" t="str">
        <f>CONCATENATE($K261, " &amp;&amp; ", $S$6)</f>
        <v>selected(data('q16204_5a'),'1') &amp;&amp; selected(data('q16202_5'),'1') &amp;&amp; selected(data('q16201'),'1') &amp;&amp; data('valid_overall') == 1</v>
      </c>
      <c r="T262" s="117"/>
      <c r="Y262" s="45" t="b">
        <v>1</v>
      </c>
    </row>
    <row r="263" spans="1:25" s="45" customFormat="1">
      <c r="A263" s="117"/>
      <c r="B263" s="54"/>
      <c r="C263" s="54"/>
      <c r="D263" s="117"/>
      <c r="E263" s="54"/>
      <c r="F263" s="54"/>
      <c r="G263" s="191"/>
      <c r="I263" s="54"/>
      <c r="J263" s="178" t="s">
        <v>24</v>
      </c>
      <c r="K263" s="19"/>
      <c r="L263" s="19"/>
      <c r="M263" s="19"/>
      <c r="N263" s="54"/>
      <c r="O263" s="312"/>
      <c r="P263" s="117"/>
      <c r="Q263" s="117"/>
      <c r="R263" s="117"/>
      <c r="S263" s="31"/>
      <c r="T263" s="117"/>
    </row>
    <row r="264" spans="1:25" s="45" customFormat="1">
      <c r="A264" s="117"/>
      <c r="B264" s="175"/>
      <c r="C264" s="175"/>
      <c r="D264" s="117"/>
      <c r="I264" s="54"/>
      <c r="J264" s="178" t="s">
        <v>23</v>
      </c>
      <c r="K264" s="54" t="str">
        <f>K257</f>
        <v>selected(data('q16202_5'),'1') &amp;&amp; selected(data('q16201'),'1')</v>
      </c>
      <c r="L264" s="174"/>
      <c r="M264" s="174"/>
      <c r="N264" s="174"/>
      <c r="O264" s="312"/>
      <c r="P264" s="117"/>
      <c r="Q264" s="117"/>
      <c r="R264" s="117"/>
      <c r="S264" s="117"/>
      <c r="T264" s="117"/>
      <c r="W264" s="117"/>
      <c r="X264" s="117"/>
    </row>
    <row r="265" spans="1:25" s="45" customFormat="1">
      <c r="A265" s="117"/>
      <c r="B265" s="175"/>
      <c r="C265" s="175"/>
      <c r="D265" s="117"/>
      <c r="I265" s="54"/>
      <c r="J265" s="44" t="s">
        <v>20</v>
      </c>
      <c r="K265" s="54"/>
      <c r="L265" s="174"/>
      <c r="M265" s="174"/>
      <c r="N265" s="174"/>
      <c r="O265" s="312"/>
      <c r="P265" s="117"/>
      <c r="Q265" s="117"/>
      <c r="R265" s="117"/>
      <c r="S265" s="117"/>
      <c r="T265" s="117"/>
      <c r="W265" s="117"/>
      <c r="X265" s="117"/>
    </row>
    <row r="266" spans="1:25" s="45" customFormat="1">
      <c r="A266" s="117"/>
      <c r="B266" s="175"/>
      <c r="C266" s="175"/>
      <c r="D266" s="117"/>
      <c r="I266" s="54"/>
      <c r="J266" s="176" t="s">
        <v>23</v>
      </c>
      <c r="K266" s="54" t="str">
        <f>K261</f>
        <v>selected(data('q16204_5a'),'1') &amp;&amp; selected(data('q16202_5'),'1') &amp;&amp; selected(data('q16201'),'1')</v>
      </c>
      <c r="L266" s="174"/>
      <c r="M266" s="174"/>
      <c r="N266" s="174"/>
      <c r="O266" s="312"/>
      <c r="P266" s="117"/>
      <c r="Q266" s="117"/>
      <c r="R266" s="117"/>
      <c r="S266" s="117"/>
      <c r="T266" s="117"/>
      <c r="W266" s="117"/>
      <c r="X266" s="117"/>
    </row>
    <row r="267" spans="1:25" s="45" customFormat="1">
      <c r="A267" s="117"/>
      <c r="B267" s="175"/>
      <c r="C267" s="175"/>
      <c r="D267" s="117"/>
      <c r="I267" s="54"/>
      <c r="K267" s="54"/>
      <c r="L267" s="174" t="s">
        <v>413</v>
      </c>
      <c r="M267" s="174" t="str">
        <f>CONCATENATE(M262,"_line_",N262)</f>
        <v>roster_line_q16205_5a</v>
      </c>
      <c r="N267" s="174" t="str">
        <f>CONCATENATE(N262,"_1")</f>
        <v>q16205_5a_1</v>
      </c>
      <c r="O267" s="312"/>
      <c r="P267" s="117"/>
      <c r="Q267" s="117"/>
      <c r="R267" s="117"/>
      <c r="S267" s="117" t="str">
        <f>S262</f>
        <v>selected(data('q16204_5a'),'1') &amp;&amp; selected(data('q16202_5'),'1') &amp;&amp; selected(data('q16201'),'1') &amp;&amp; data('valid_overall') == 1</v>
      </c>
      <c r="T267" s="117"/>
      <c r="W267" s="117"/>
      <c r="X267" s="117"/>
      <c r="Y267" s="45" t="b">
        <v>1</v>
      </c>
    </row>
    <row r="268" spans="1:25" s="45" customFormat="1">
      <c r="A268" s="117"/>
      <c r="B268" s="175"/>
      <c r="C268" s="175"/>
      <c r="D268" s="117"/>
      <c r="I268" s="54"/>
      <c r="J268" s="176" t="s">
        <v>24</v>
      </c>
      <c r="K268" s="54"/>
      <c r="L268" s="174"/>
      <c r="M268" s="174"/>
      <c r="N268" s="174"/>
      <c r="O268" s="312"/>
      <c r="P268" s="117"/>
      <c r="Q268" s="117"/>
      <c r="R268" s="117"/>
      <c r="S268" s="117"/>
      <c r="T268" s="117"/>
      <c r="W268" s="117"/>
      <c r="X268" s="117"/>
    </row>
    <row r="269" spans="1:25" s="45" customFormat="1" ht="45">
      <c r="A269" s="117"/>
      <c r="B269" s="175"/>
      <c r="C269" s="175"/>
      <c r="D269" s="117"/>
      <c r="I269" s="54"/>
      <c r="K269" s="54"/>
      <c r="L269" s="174" t="s">
        <v>18</v>
      </c>
      <c r="M269" s="19" t="s">
        <v>17</v>
      </c>
      <c r="N269" s="54" t="str">
        <f>CONCATENATE("q",$I$12, "_",$I$28,"a")</f>
        <v>q16206_5a</v>
      </c>
      <c r="O269" s="312" t="str">
        <f>CONCATENATE(SUBSTITUTE(N269, "q",""),, ". ", SUBSTITUTE($E$12, "]الحيوانات[",$E$28))</f>
        <v>16206_5a. هل هناك شخص آخر يرعى الجمال؟</v>
      </c>
      <c r="P269" s="117" t="str">
        <f>CONCATENATE(N269, ". ", SUBSTITUTE($B$12, "[animal]",$B$28))</f>
        <v>q16206_5a. Is there another person who takes care of the  Camels?</v>
      </c>
      <c r="Q269" s="117"/>
      <c r="R269" s="117"/>
      <c r="S269" s="31" t="str">
        <f>CONCATENATE($K264, " &amp;&amp; ", $S$6)</f>
        <v>selected(data('q16202_5'),'1') &amp;&amp; selected(data('q16201'),'1') &amp;&amp; data('valid_overall') == 1</v>
      </c>
      <c r="T269" s="117"/>
      <c r="W269" s="117"/>
      <c r="X269" s="117"/>
      <c r="Y269" s="45" t="b">
        <v>1</v>
      </c>
    </row>
    <row r="270" spans="1:25" s="45" customFormat="1">
      <c r="A270" s="117"/>
      <c r="B270" s="175"/>
      <c r="C270" s="175"/>
      <c r="D270" s="117"/>
      <c r="I270" s="54"/>
      <c r="J270" s="45" t="s">
        <v>21</v>
      </c>
      <c r="K270" s="54"/>
      <c r="L270" s="174"/>
      <c r="M270" s="19"/>
      <c r="N270" s="54"/>
      <c r="O270" s="312"/>
      <c r="P270" s="117"/>
      <c r="Q270" s="117"/>
      <c r="R270" s="117"/>
      <c r="S270" s="31"/>
      <c r="T270" s="117"/>
      <c r="W270" s="117"/>
      <c r="X270" s="117"/>
    </row>
    <row r="271" spans="1:25" s="45" customFormat="1">
      <c r="A271" s="117"/>
      <c r="B271" s="175"/>
      <c r="C271" s="175"/>
      <c r="D271" s="117"/>
      <c r="I271" s="54"/>
      <c r="J271" s="178" t="s">
        <v>24</v>
      </c>
      <c r="K271" s="54"/>
      <c r="L271" s="174"/>
      <c r="M271" s="19"/>
      <c r="N271" s="54"/>
      <c r="O271" s="312"/>
      <c r="P271" s="117"/>
      <c r="Q271" s="117"/>
      <c r="R271" s="117"/>
      <c r="S271" s="31"/>
      <c r="T271" s="117"/>
      <c r="W271" s="117"/>
      <c r="X271" s="117"/>
    </row>
    <row r="272" spans="1:25" s="45" customFormat="1">
      <c r="A272" s="117"/>
      <c r="B272" s="175"/>
      <c r="C272" s="175"/>
      <c r="D272" s="117"/>
      <c r="I272" s="54"/>
      <c r="J272" s="178" t="s">
        <v>23</v>
      </c>
      <c r="K272" s="44" t="str">
        <f>CONCATENATE("selected(data('",N269,"'),'1') &amp;&amp; ",K264)</f>
        <v>selected(data('q16206_5a'),'1') &amp;&amp; selected(data('q16202_5'),'1') &amp;&amp; selected(data('q16201'),'1')</v>
      </c>
      <c r="L272" s="174"/>
      <c r="M272" s="174"/>
      <c r="N272" s="54"/>
      <c r="O272" s="312"/>
      <c r="P272" s="117"/>
      <c r="Q272" s="117"/>
      <c r="R272" s="117"/>
      <c r="S272" s="117"/>
      <c r="T272" s="117"/>
      <c r="W272" s="117"/>
      <c r="X272" s="117"/>
    </row>
    <row r="273" spans="1:25" s="45" customFormat="1">
      <c r="A273" s="117"/>
      <c r="B273" s="175"/>
      <c r="C273" s="175"/>
      <c r="D273" s="117"/>
      <c r="I273" s="54"/>
      <c r="J273" s="44" t="s">
        <v>20</v>
      </c>
      <c r="K273" s="44"/>
      <c r="L273" s="174"/>
      <c r="M273" s="174"/>
      <c r="N273" s="54"/>
      <c r="O273" s="312"/>
      <c r="P273" s="117"/>
      <c r="Q273" s="117"/>
      <c r="R273" s="117"/>
      <c r="S273" s="117"/>
      <c r="T273" s="117"/>
      <c r="W273" s="117"/>
      <c r="X273" s="117"/>
    </row>
    <row r="274" spans="1:25" s="45" customFormat="1" ht="60">
      <c r="A274" s="117"/>
      <c r="B274" s="175"/>
      <c r="C274" s="175"/>
      <c r="D274" s="117"/>
      <c r="I274" s="54"/>
      <c r="K274" s="54"/>
      <c r="L274" s="174" t="s">
        <v>18</v>
      </c>
      <c r="M274" s="19" t="s">
        <v>17</v>
      </c>
      <c r="N274" s="54" t="str">
        <f>CONCATENATE("q",$I$13, "_",$I$28,"b")</f>
        <v>q16204_5b</v>
      </c>
      <c r="O274" s="312" t="str">
        <f>CONCATENATE(SUBSTITUTE(N274, "q",""),, ". ", SUBSTITUTE($E$13, "]الحيوانات[",$E$28))</f>
        <v>16204_5b. هل الشخص الثاني الذي يرعى الجمال هو أحد أفراد الأسرة؟</v>
      </c>
      <c r="P274" s="117" t="str">
        <f>CONCATENATE(N274, ". ", SUBSTITUTE($B$13, "[animal]",$B$28))</f>
        <v>q16204_5b. Is the second person who takes care of the  Camels a member of the household?</v>
      </c>
      <c r="Q274" s="117"/>
      <c r="R274" s="117"/>
      <c r="S274" s="31" t="str">
        <f>CONCATENATE($K272, " &amp;&amp; ", $S$6)</f>
        <v>selected(data('q16206_5a'),'1') &amp;&amp; selected(data('q16202_5'),'1') &amp;&amp; selected(data('q16201'),'1') &amp;&amp; data('valid_overall') == 1</v>
      </c>
      <c r="T274" s="117"/>
      <c r="W274" s="117"/>
      <c r="X274" s="117"/>
      <c r="Y274" s="45" t="b">
        <v>1</v>
      </c>
    </row>
    <row r="275" spans="1:25" s="45" customFormat="1">
      <c r="A275" s="117"/>
      <c r="B275" s="175"/>
      <c r="C275" s="175"/>
      <c r="D275" s="117"/>
      <c r="I275" s="54"/>
      <c r="J275" s="45" t="s">
        <v>21</v>
      </c>
      <c r="K275" s="54"/>
      <c r="L275" s="174"/>
      <c r="M275" s="19"/>
      <c r="N275" s="54"/>
      <c r="O275" s="312"/>
      <c r="P275" s="117"/>
      <c r="Q275" s="117"/>
      <c r="R275" s="117"/>
      <c r="S275" s="31"/>
      <c r="T275" s="117"/>
      <c r="W275" s="117"/>
      <c r="X275" s="117"/>
    </row>
    <row r="276" spans="1:25" s="45" customFormat="1">
      <c r="A276" s="117"/>
      <c r="B276" s="175"/>
      <c r="C276" s="175"/>
      <c r="D276" s="117"/>
      <c r="I276" s="54"/>
      <c r="J276" s="178" t="s">
        <v>24</v>
      </c>
      <c r="K276" s="54"/>
      <c r="L276" s="174"/>
      <c r="M276" s="19"/>
      <c r="N276" s="54"/>
      <c r="O276" s="312"/>
      <c r="P276" s="117"/>
      <c r="Q276" s="117"/>
      <c r="R276" s="117"/>
      <c r="S276" s="31"/>
      <c r="T276" s="117"/>
      <c r="W276" s="117"/>
      <c r="X276" s="117"/>
    </row>
    <row r="277" spans="1:25" s="45" customFormat="1">
      <c r="A277" s="117"/>
      <c r="B277" s="175"/>
      <c r="C277" s="175"/>
      <c r="D277" s="117"/>
      <c r="I277" s="54"/>
      <c r="J277" s="178" t="s">
        <v>23</v>
      </c>
      <c r="K277" s="44" t="str">
        <f>CONCATENATE("selected(data('",N274,"'),'1') &amp;&amp;", K272)</f>
        <v>selected(data('q16204_5b'),'1') &amp;&amp;selected(data('q16206_5a'),'1') &amp;&amp; selected(data('q16202_5'),'1') &amp;&amp; selected(data('q16201'),'1')</v>
      </c>
      <c r="L277" s="174"/>
      <c r="M277" s="174"/>
      <c r="N277" s="54"/>
      <c r="O277" s="312"/>
      <c r="P277" s="117"/>
      <c r="Q277" s="117"/>
      <c r="R277" s="117"/>
      <c r="S277" s="117"/>
      <c r="T277" s="117"/>
      <c r="W277" s="117"/>
      <c r="X277" s="117"/>
    </row>
    <row r="278" spans="1:25" s="45" customFormat="1" ht="75">
      <c r="A278" s="117"/>
      <c r="B278" s="54"/>
      <c r="C278" s="54"/>
      <c r="D278" s="117"/>
      <c r="E278" s="54"/>
      <c r="F278" s="54"/>
      <c r="G278" s="191"/>
      <c r="I278" s="54"/>
      <c r="J278" s="159"/>
      <c r="K278" s="19"/>
      <c r="L278" s="19" t="s">
        <v>174</v>
      </c>
      <c r="M278" s="19" t="s">
        <v>206</v>
      </c>
      <c r="N278" s="54" t="str">
        <f>CONCATENATE("q",$I$14, "_",$I$28,"b")</f>
        <v>q16205_5b</v>
      </c>
      <c r="O278" s="312" t="str">
        <f>CONCATENATE(SUBSTITUTE(N278, "q",""), ". ", SUBSTITUTE($E$14, "]الحيوانات[",$E$28))</f>
        <v xml:space="preserve">16205_5b. من الشخص المسؤول عن رعاية الجمال في الأسرة؟ الفرد الثاني </v>
      </c>
      <c r="P278" s="117" t="str">
        <f>CONCATENATE(N278, ". ", SUBSTITUTE($B$14, "[animal]",$B$28))</f>
        <v>q16205_5b. Who is the person who takes care of the  Camels? Second member</v>
      </c>
      <c r="Q278" s="117"/>
      <c r="R278" s="117"/>
      <c r="S278" s="31" t="str">
        <f>CONCATENATE($K277, " &amp;&amp; ", $S$6)</f>
        <v>selected(data('q16204_5b'),'1') &amp;&amp;selected(data('q16206_5a'),'1') &amp;&amp; selected(data('q16202_5'),'1') &amp;&amp; selected(data('q16201'),'1') &amp;&amp; data('valid_overall') == 1</v>
      </c>
      <c r="T278" s="117"/>
      <c r="Y278" s="45" t="b">
        <v>1</v>
      </c>
    </row>
    <row r="279" spans="1:25" s="45" customFormat="1">
      <c r="A279" s="117"/>
      <c r="B279" s="54"/>
      <c r="C279" s="54"/>
      <c r="D279" s="117"/>
      <c r="E279" s="54"/>
      <c r="F279" s="54"/>
      <c r="G279" s="191"/>
      <c r="I279" s="54"/>
      <c r="J279" s="88" t="s">
        <v>24</v>
      </c>
      <c r="K279" s="19"/>
      <c r="L279" s="19"/>
      <c r="M279" s="19"/>
      <c r="N279" s="54"/>
      <c r="O279" s="312"/>
      <c r="P279" s="117"/>
      <c r="Q279" s="117"/>
      <c r="R279" s="117"/>
      <c r="S279" s="31"/>
      <c r="T279" s="117"/>
      <c r="V279" s="31"/>
      <c r="W279" s="31"/>
      <c r="X279" s="31"/>
    </row>
    <row r="280" spans="1:25" s="45" customFormat="1">
      <c r="A280" s="117"/>
      <c r="B280" s="175"/>
      <c r="C280" s="175"/>
      <c r="D280" s="117"/>
      <c r="I280" s="54"/>
      <c r="J280" s="178" t="s">
        <v>23</v>
      </c>
      <c r="K280" s="54" t="str">
        <f>K272</f>
        <v>selected(data('q16206_5a'),'1') &amp;&amp; selected(data('q16202_5'),'1') &amp;&amp; selected(data('q16201'),'1')</v>
      </c>
      <c r="L280" s="174"/>
      <c r="M280" s="174"/>
      <c r="N280" s="174"/>
      <c r="O280" s="312"/>
      <c r="P280" s="117"/>
      <c r="Q280" s="117"/>
      <c r="R280" s="117"/>
      <c r="S280" s="117"/>
      <c r="T280" s="117"/>
      <c r="W280" s="117"/>
      <c r="X280" s="117"/>
    </row>
    <row r="281" spans="1:25" s="45" customFormat="1">
      <c r="A281" s="117"/>
      <c r="B281" s="175"/>
      <c r="C281" s="175"/>
      <c r="D281" s="117"/>
      <c r="I281" s="54"/>
      <c r="J281" s="44" t="s">
        <v>20</v>
      </c>
      <c r="K281" s="54"/>
      <c r="L281" s="174"/>
      <c r="M281" s="174"/>
      <c r="N281" s="174"/>
      <c r="O281" s="312"/>
      <c r="P281" s="117"/>
      <c r="Q281" s="117"/>
      <c r="R281" s="117"/>
      <c r="S281" s="117"/>
      <c r="T281" s="117"/>
      <c r="W281" s="117"/>
      <c r="X281" s="117"/>
    </row>
    <row r="282" spans="1:25" s="45" customFormat="1">
      <c r="A282" s="117"/>
      <c r="B282" s="175"/>
      <c r="C282" s="175"/>
      <c r="D282" s="117"/>
      <c r="I282" s="54"/>
      <c r="J282" s="176" t="s">
        <v>23</v>
      </c>
      <c r="K282" s="54" t="str">
        <f>K277</f>
        <v>selected(data('q16204_5b'),'1') &amp;&amp;selected(data('q16206_5a'),'1') &amp;&amp; selected(data('q16202_5'),'1') &amp;&amp; selected(data('q16201'),'1')</v>
      </c>
      <c r="L282" s="174"/>
      <c r="M282" s="174"/>
      <c r="N282" s="174"/>
      <c r="O282" s="312"/>
      <c r="P282" s="117"/>
      <c r="Q282" s="117"/>
      <c r="R282" s="117"/>
      <c r="S282" s="117"/>
      <c r="T282" s="117"/>
      <c r="W282" s="117"/>
      <c r="X282" s="117"/>
    </row>
    <row r="283" spans="1:25" s="45" customFormat="1" ht="105">
      <c r="A283" s="117"/>
      <c r="B283" s="175"/>
      <c r="C283" s="175"/>
      <c r="D283" s="117"/>
      <c r="I283" s="54"/>
      <c r="J283" s="44"/>
      <c r="K283" s="54"/>
      <c r="L283" s="174" t="s">
        <v>413</v>
      </c>
      <c r="M283" s="174" t="str">
        <f>CONCATENATE(M278,"_line_",N278)</f>
        <v>roster_line_q16205_5b</v>
      </c>
      <c r="N283" s="174" t="str">
        <f>CONCATENATE(N278,"_1")</f>
        <v>q16205_5b_1</v>
      </c>
      <c r="O283" s="312"/>
      <c r="P283" s="117"/>
      <c r="Q283" s="117"/>
      <c r="R283" s="117"/>
      <c r="S283" s="117" t="str">
        <f>S278</f>
        <v>selected(data('q16204_5b'),'1') &amp;&amp;selected(data('q16206_5a'),'1') &amp;&amp; selected(data('q16202_5'),'1') &amp;&amp; selected(data('q16201'),'1') &amp;&amp; data('valid_overall') == 1</v>
      </c>
      <c r="T283" s="117"/>
      <c r="V283" s="31" t="str">
        <f>CONCATENATE("(data('",N267,"') != data('",N283,"')) || selected(data('",N269,"'), '2')   || selected(data('",N259,"'), '2')  || selected(data('",N274,"'), '2')  || selected(data('",N255,"'), '2') || selected(data('",$N$6,"'),'2') || data('valid_overall') == 0")</f>
        <v>(data('q16205_5a_1') != data('q16205_5b_1')) || selected(data('q16206_5a'), '2')   || selected(data('q16204_5a'), '2')  || selected(data('q16204_5b'), '2')  || selected(data('q16202_5'), '2') || selected(data('q16201'),'2') || data('valid_overall') == 0</v>
      </c>
      <c r="W283" s="31" t="s">
        <v>1033</v>
      </c>
      <c r="X283" s="31" t="s">
        <v>555</v>
      </c>
      <c r="Y283" s="45" t="b">
        <v>1</v>
      </c>
    </row>
    <row r="284" spans="1:25" s="45" customFormat="1">
      <c r="A284" s="117"/>
      <c r="B284" s="175"/>
      <c r="C284" s="175"/>
      <c r="D284" s="117"/>
      <c r="I284" s="54"/>
      <c r="J284" s="176" t="s">
        <v>24</v>
      </c>
      <c r="K284" s="54"/>
      <c r="L284" s="174"/>
      <c r="M284" s="174"/>
      <c r="N284" s="174"/>
      <c r="O284" s="312"/>
      <c r="P284" s="117"/>
      <c r="Q284" s="117"/>
      <c r="R284" s="117"/>
      <c r="S284" s="117"/>
      <c r="T284" s="117"/>
      <c r="W284" s="117"/>
      <c r="X284" s="117"/>
    </row>
    <row r="285" spans="1:25" s="45" customFormat="1" ht="60">
      <c r="A285" s="117"/>
      <c r="B285" s="175"/>
      <c r="C285" s="175"/>
      <c r="D285" s="117"/>
      <c r="I285" s="54"/>
      <c r="K285" s="54"/>
      <c r="L285" s="174" t="s">
        <v>18</v>
      </c>
      <c r="M285" s="19" t="s">
        <v>17</v>
      </c>
      <c r="N285" s="54" t="str">
        <f>CONCATENATE("q",$I$15, "_",$I$28,"b")</f>
        <v>q16206_5b</v>
      </c>
      <c r="O285" s="312" t="str">
        <f>CONCATENATE(SUBSTITUTE(N285, "q",""),, ". ", SUBSTITUTE($E$15, "]الحيوانات[",$E$28))</f>
        <v>16206_5b. هل هناك شخص آخر يرعى الجمال؟</v>
      </c>
      <c r="P285" s="117" t="str">
        <f>CONCATENATE(N285, ". ", SUBSTITUTE($B$15, "[animal]",$B$28))</f>
        <v>q16206_5b. Is there another person who takes care of the  Camels?</v>
      </c>
      <c r="Q285" s="117"/>
      <c r="R285" s="117"/>
      <c r="S285" s="31" t="str">
        <f>CONCATENATE($K280, " &amp;&amp; ", $S$6)</f>
        <v>selected(data('q16206_5a'),'1') &amp;&amp; selected(data('q16202_5'),'1') &amp;&amp; selected(data('q16201'),'1') &amp;&amp; data('valid_overall') == 1</v>
      </c>
      <c r="T285" s="117"/>
      <c r="W285" s="117"/>
      <c r="X285" s="117"/>
      <c r="Y285" s="45" t="b">
        <v>1</v>
      </c>
    </row>
    <row r="286" spans="1:25" s="45" customFormat="1">
      <c r="A286" s="117"/>
      <c r="B286" s="175"/>
      <c r="C286" s="175"/>
      <c r="D286" s="117"/>
      <c r="I286" s="54"/>
      <c r="J286" s="45" t="s">
        <v>21</v>
      </c>
      <c r="K286" s="54"/>
      <c r="L286" s="174"/>
      <c r="M286" s="19"/>
      <c r="N286" s="54"/>
      <c r="O286" s="312"/>
      <c r="P286" s="117"/>
      <c r="Q286" s="117"/>
      <c r="R286" s="117"/>
      <c r="S286" s="31"/>
      <c r="T286" s="117"/>
      <c r="W286" s="117"/>
      <c r="X286" s="117"/>
    </row>
    <row r="287" spans="1:25" s="45" customFormat="1">
      <c r="A287" s="117"/>
      <c r="B287" s="175"/>
      <c r="C287" s="175"/>
      <c r="D287" s="117"/>
      <c r="I287" s="54"/>
      <c r="J287" s="178" t="s">
        <v>24</v>
      </c>
      <c r="K287" s="54"/>
      <c r="L287" s="174"/>
      <c r="M287" s="19"/>
      <c r="N287" s="54"/>
      <c r="O287" s="312" t="s">
        <v>471</v>
      </c>
      <c r="P287" s="117"/>
      <c r="Q287" s="117"/>
      <c r="R287" s="117"/>
      <c r="S287" s="31"/>
      <c r="T287" s="117"/>
      <c r="W287" s="117"/>
      <c r="X287" s="117"/>
    </row>
    <row r="288" spans="1:25" s="45" customFormat="1">
      <c r="A288" s="117"/>
      <c r="B288" s="175"/>
      <c r="C288" s="175"/>
      <c r="D288" s="117"/>
      <c r="I288" s="54"/>
      <c r="J288" s="178" t="s">
        <v>23</v>
      </c>
      <c r="K288" s="44" t="str">
        <f>CONCATENATE("selected(data('",N285,"'),'1') &amp;&amp; ", K280)</f>
        <v>selected(data('q16206_5b'),'1') &amp;&amp; selected(data('q16206_5a'),'1') &amp;&amp; selected(data('q16202_5'),'1') &amp;&amp; selected(data('q16201'),'1')</v>
      </c>
      <c r="L288" s="174"/>
      <c r="M288" s="174"/>
      <c r="N288" s="54"/>
      <c r="O288" s="312"/>
      <c r="P288" s="117"/>
      <c r="Q288" s="117"/>
      <c r="R288" s="117"/>
      <c r="S288" s="117"/>
      <c r="T288" s="117"/>
      <c r="W288" s="117"/>
      <c r="X288" s="117"/>
    </row>
    <row r="289" spans="1:25" s="45" customFormat="1" ht="75">
      <c r="A289" s="117"/>
      <c r="B289" s="175"/>
      <c r="C289" s="175"/>
      <c r="D289" s="117"/>
      <c r="I289" s="54"/>
      <c r="K289" s="54"/>
      <c r="L289" s="174" t="s">
        <v>18</v>
      </c>
      <c r="M289" s="19" t="s">
        <v>17</v>
      </c>
      <c r="N289" s="54" t="str">
        <f>CONCATENATE("q",$I$16, "_",$I$28,"c")</f>
        <v>q16204_5c</v>
      </c>
      <c r="O289" s="312" t="str">
        <f>CONCATENATE(SUBSTITUTE(N289, "q",""),, ". ", SUBSTITUTE($E$16, "]الحيوانات[",$E$28))</f>
        <v>16204_5c. هل الشخص الثالث الذي يرعى الجمال هو أحد أفراد الأسرة؟</v>
      </c>
      <c r="P289" s="117" t="str">
        <f>CONCATENATE(N289, ". ", SUBSTITUTE($B$16, "[animal]",$B$28))</f>
        <v>q16204_5c. Is the third person who takes care of the  Camels a member of the household?</v>
      </c>
      <c r="Q289" s="117"/>
      <c r="R289" s="117"/>
      <c r="S289" s="31" t="str">
        <f>CONCATENATE($K288, " &amp;&amp; ", $S$6)</f>
        <v>selected(data('q16206_5b'),'1') &amp;&amp; selected(data('q16206_5a'),'1') &amp;&amp; selected(data('q16202_5'),'1') &amp;&amp; selected(data('q16201'),'1') &amp;&amp; data('valid_overall') == 1</v>
      </c>
      <c r="T289" s="117"/>
      <c r="W289" s="117"/>
      <c r="X289" s="117"/>
      <c r="Y289" s="45" t="b">
        <v>1</v>
      </c>
    </row>
    <row r="290" spans="1:25" s="45" customFormat="1">
      <c r="A290" s="117"/>
      <c r="B290" s="175"/>
      <c r="C290" s="175"/>
      <c r="D290" s="117"/>
      <c r="I290" s="54"/>
      <c r="J290" s="178" t="s">
        <v>24</v>
      </c>
      <c r="K290" s="54"/>
      <c r="L290" s="174"/>
      <c r="M290" s="19"/>
      <c r="N290" s="54"/>
      <c r="O290" s="312"/>
      <c r="P290" s="117"/>
      <c r="Q290" s="117"/>
      <c r="R290" s="117"/>
      <c r="S290" s="31"/>
      <c r="T290" s="117"/>
      <c r="W290" s="117"/>
      <c r="X290" s="117"/>
    </row>
    <row r="291" spans="1:25" s="45" customFormat="1">
      <c r="A291" s="117"/>
      <c r="B291" s="175"/>
      <c r="C291" s="175"/>
      <c r="D291" s="117"/>
      <c r="I291" s="54"/>
      <c r="J291" s="178" t="s">
        <v>23</v>
      </c>
      <c r="K291" s="44" t="str">
        <f>CONCATENATE("selected(data('",N289,"'),'1') &amp;&amp; ", K288)</f>
        <v>selected(data('q16204_5c'),'1') &amp;&amp; selected(data('q16206_5b'),'1') &amp;&amp; selected(data('q16206_5a'),'1') &amp;&amp; selected(data('q16202_5'),'1') &amp;&amp; selected(data('q16201'),'1')</v>
      </c>
      <c r="L291" s="174"/>
      <c r="M291" s="174"/>
      <c r="N291" s="54"/>
      <c r="O291" s="312"/>
      <c r="P291" s="117"/>
      <c r="Q291" s="117"/>
      <c r="R291" s="117"/>
      <c r="S291" s="117"/>
      <c r="T291" s="117"/>
      <c r="W291" s="117"/>
      <c r="X291" s="117"/>
    </row>
    <row r="292" spans="1:25" s="45" customFormat="1" ht="90">
      <c r="A292" s="117"/>
      <c r="B292" s="54"/>
      <c r="C292" s="54"/>
      <c r="D292" s="117"/>
      <c r="E292" s="54"/>
      <c r="F292" s="54"/>
      <c r="G292" s="191"/>
      <c r="I292" s="54"/>
      <c r="J292" s="197"/>
      <c r="K292" s="19"/>
      <c r="L292" s="19" t="s">
        <v>174</v>
      </c>
      <c r="M292" s="19" t="s">
        <v>206</v>
      </c>
      <c r="N292" s="54" t="str">
        <f>CONCATENATE("q",$I$17, "_",$I$28,"c")</f>
        <v>q16205_5c</v>
      </c>
      <c r="O292" s="312" t="str">
        <f>CONCATENATE(N292, ". ", SUBSTITUTE($E$16, "]الحيوانات[",$E$28))</f>
        <v>q16205_5c. هل الشخص الثالث الذي يرعى الجمال هو أحد أفراد الأسرة؟</v>
      </c>
      <c r="P292" s="117" t="str">
        <f>CONCATENATE(N292, ". ", SUBSTITUTE($B$17, "[animal]",$B$28))</f>
        <v>q16205_5c. Who is the person who takes care of the  Camels? Third member</v>
      </c>
      <c r="Q292" s="117"/>
      <c r="R292" s="117"/>
      <c r="S292" s="31" t="str">
        <f>CONCATENATE($K291, " &amp;&amp; ",$S$6)</f>
        <v>selected(data('q16204_5c'),'1') &amp;&amp; selected(data('q16206_5b'),'1') &amp;&amp; selected(data('q16206_5a'),'1') &amp;&amp; selected(data('q16202_5'),'1') &amp;&amp; selected(data('q16201'),'1') &amp;&amp; data('valid_overall') == 1</v>
      </c>
      <c r="T292" s="117"/>
      <c r="Y292" s="45" t="b">
        <v>1</v>
      </c>
    </row>
    <row r="293" spans="1:25" s="404" customFormat="1">
      <c r="I293" s="18"/>
      <c r="L293" s="18"/>
      <c r="O293" s="70"/>
      <c r="P293" s="30"/>
      <c r="Q293" s="30"/>
      <c r="R293" s="30"/>
      <c r="S293" s="30"/>
      <c r="T293" s="30"/>
    </row>
    <row r="294" spans="1:25" s="45" customFormat="1">
      <c r="A294" s="117"/>
      <c r="B294" s="54"/>
      <c r="C294" s="54"/>
      <c r="D294" s="117"/>
      <c r="E294" s="54"/>
      <c r="F294" s="54"/>
      <c r="G294" s="191"/>
      <c r="I294" s="54"/>
      <c r="J294" s="88" t="s">
        <v>42</v>
      </c>
      <c r="K294" s="64"/>
      <c r="L294" s="19"/>
      <c r="M294" s="64"/>
      <c r="N294" s="64"/>
      <c r="O294" s="407"/>
      <c r="P294" s="31"/>
      <c r="Q294" s="117"/>
      <c r="R294" s="117"/>
      <c r="S294" s="117"/>
      <c r="T294" s="117"/>
    </row>
    <row r="295" spans="1:25" s="45" customFormat="1">
      <c r="A295" s="117"/>
      <c r="B295" s="54"/>
      <c r="C295" s="54"/>
      <c r="D295" s="117"/>
      <c r="E295" s="54"/>
      <c r="F295" s="54"/>
      <c r="G295" s="191"/>
      <c r="I295" s="54"/>
      <c r="J295" s="88" t="s">
        <v>23</v>
      </c>
      <c r="K295" s="64" t="str">
        <f>K257</f>
        <v>selected(data('q16202_5'),'1') &amp;&amp; selected(data('q16201'),'1')</v>
      </c>
      <c r="L295" s="19"/>
      <c r="M295" s="64"/>
      <c r="N295" s="64"/>
      <c r="O295" s="407"/>
      <c r="P295" s="31"/>
      <c r="Q295" s="117"/>
      <c r="R295" s="117"/>
      <c r="S295" s="117"/>
      <c r="T295" s="117"/>
    </row>
    <row r="296" spans="1:25" s="45" customFormat="1">
      <c r="A296" s="117"/>
      <c r="B296" s="54"/>
      <c r="C296" s="54"/>
      <c r="D296" s="117"/>
      <c r="E296" s="54"/>
      <c r="F296" s="54"/>
      <c r="G296" s="191"/>
      <c r="I296" s="54"/>
      <c r="J296" s="405" t="s">
        <v>20</v>
      </c>
      <c r="K296" s="64"/>
      <c r="L296" s="19"/>
      <c r="M296" s="64"/>
      <c r="N296" s="64"/>
      <c r="O296" s="407"/>
      <c r="P296" s="31"/>
      <c r="Q296" s="117"/>
      <c r="R296" s="117"/>
      <c r="S296" s="117"/>
      <c r="T296" s="117"/>
    </row>
    <row r="297" spans="1:25" s="45" customFormat="1">
      <c r="A297" s="117"/>
      <c r="B297" s="54"/>
      <c r="C297" s="54"/>
      <c r="D297" s="117"/>
      <c r="E297" s="54"/>
      <c r="F297" s="54"/>
      <c r="G297" s="191"/>
      <c r="I297" s="54"/>
      <c r="J297" s="66" t="s">
        <v>23</v>
      </c>
      <c r="K297" s="64" t="str">
        <f>K291</f>
        <v>selected(data('q16204_5c'),'1') &amp;&amp; selected(data('q16206_5b'),'1') &amp;&amp; selected(data('q16206_5a'),'1') &amp;&amp; selected(data('q16202_5'),'1') &amp;&amp; selected(data('q16201'),'1')</v>
      </c>
      <c r="L297" s="19"/>
      <c r="M297" s="64"/>
      <c r="N297" s="64"/>
      <c r="O297" s="407"/>
      <c r="P297" s="31"/>
      <c r="Q297" s="117"/>
      <c r="R297" s="117"/>
      <c r="S297" s="117"/>
      <c r="T297" s="117"/>
    </row>
    <row r="298" spans="1:25" s="45" customFormat="1" ht="255">
      <c r="A298" s="117"/>
      <c r="B298" s="175"/>
      <c r="C298" s="175"/>
      <c r="D298" s="117"/>
      <c r="I298" s="54"/>
      <c r="J298" s="176"/>
      <c r="K298" s="54"/>
      <c r="L298" s="174" t="s">
        <v>413</v>
      </c>
      <c r="M298" s="174" t="str">
        <f>CONCATENATE(M292,"_line_",N292)</f>
        <v>roster_line_q16205_5c</v>
      </c>
      <c r="N298" s="174" t="str">
        <f>CONCATENATE(N292,"_1")</f>
        <v>q16205_5c_1</v>
      </c>
      <c r="O298" s="312"/>
      <c r="P298" s="117"/>
      <c r="Q298" s="117"/>
      <c r="R298" s="117"/>
      <c r="S298" s="117" t="str">
        <f>S292</f>
        <v>selected(data('q16204_5c'),'1') &amp;&amp; selected(data('q16206_5b'),'1') &amp;&amp; selected(data('q16206_5a'),'1') &amp;&amp; selected(data('q16202_5'),'1') &amp;&amp; selected(data('q16201'),'1') &amp;&amp; data('valid_overall') == 1</v>
      </c>
      <c r="T298" s="117"/>
      <c r="V298" s="31" t="str">
        <f>CONCATENATE(" (((data('",N267,"') != data('",N283,"')) || selected(data('",N269,"'), '2')   || selected(data('",N259,"'), '2')  || selected(data('",N274,"'), '2')) &amp;&amp; ((data('",N283,"') != data('",N298,"'))  || selected(data('",N269,"'), '2') || selected(data('",N285,"'), '2')   || selected(data('",N274,"'), '2')  || selected(data('",N289,"'), '2'))   &amp;&amp; ((data('",N267,"') != data('",N298,"'))  || selected(data('",N269,"'), '2')|| selected(data('",N289,"'), '2')   || selected(data('",N259,"'), '2')  || selected(data('",N289,"'), '2'))  )  || selected(data('",N255,"'), '2') || selected(data('",$N$6,"'),'2') || data('valid_overall') == 0")</f>
        <v xml:space="preserve"> (((data('q16205_5a_1') != data('q16205_5b_1')) || selected(data('q16206_5a'), '2')   || selected(data('q16204_5a'), '2')  || selected(data('q16204_5b'), '2')) &amp;&amp; ((data('q16205_5b_1') != data('q16205_5c_1'))  || selected(data('q16206_5a'), '2') || selected(data('q16206_5b'), '2')   || selected(data('q16204_5b'), '2')  || selected(data('q16204_5c'), '2'))   &amp;&amp; ((data('q16205_5a_1') != data('q16205_5c_1'))  || selected(data('q16206_5a'), '2')|| selected(data('q16204_5c'), '2')   || selected(data('q16204_5a'), '2')  || selected(data('q16204_5c'), '2'))  )  || selected(data('q16202_5'), '2') || selected(data('q16201'),'2') || data('valid_overall') == 0</v>
      </c>
      <c r="W298" s="31" t="s">
        <v>1033</v>
      </c>
      <c r="X298" s="31" t="s">
        <v>555</v>
      </c>
      <c r="Y298" s="45" t="b">
        <v>1</v>
      </c>
    </row>
    <row r="299" spans="1:25" s="45" customFormat="1">
      <c r="A299" s="117"/>
      <c r="B299" s="54"/>
      <c r="C299" s="54"/>
      <c r="D299" s="117"/>
      <c r="E299" s="54"/>
      <c r="F299" s="54"/>
      <c r="G299" s="191"/>
      <c r="I299" s="54"/>
      <c r="J299" s="66" t="s">
        <v>24</v>
      </c>
      <c r="K299" s="64"/>
      <c r="L299" s="19"/>
      <c r="M299" s="64"/>
      <c r="N299" s="64"/>
      <c r="O299" s="407"/>
      <c r="P299" s="31"/>
      <c r="Q299" s="117"/>
      <c r="R299" s="117"/>
      <c r="S299" s="117"/>
      <c r="T299" s="117"/>
    </row>
    <row r="300" spans="1:25" s="45" customFormat="1" ht="60">
      <c r="A300" s="117"/>
      <c r="B300" s="117"/>
      <c r="C300" s="117"/>
      <c r="D300" s="117"/>
      <c r="E300" s="118"/>
      <c r="F300" s="118"/>
      <c r="G300" s="191"/>
      <c r="I300" s="54"/>
      <c r="J300" s="192"/>
      <c r="L300" s="54" t="s">
        <v>18</v>
      </c>
      <c r="M300" s="45" t="s">
        <v>17</v>
      </c>
      <c r="N300" s="45" t="str">
        <f>CONCATENATE("q",$I$18, "_",$I$28)</f>
        <v>q16207_5</v>
      </c>
      <c r="O300" s="312" t="str">
        <f>CONCATENATE(N300, ". ", SUBSTITUTE($E$18, "]الحيوانات[",$E$28))</f>
        <v>q16207_5. خلال الـ12 شهر الماضية، هل قمت استهلكت أي من الجمال؟</v>
      </c>
      <c r="P300" s="117" t="str">
        <f>CONCATENATE(N300, ". ", SUBSTITUTE($B$18, "[animal]",$B$28))</f>
        <v>q16207_5. During the past 12 months have you consumed any of the  Camels?</v>
      </c>
      <c r="Q300" s="117"/>
      <c r="R300" s="117"/>
      <c r="S300" s="31" t="str">
        <f>CONCATENATE($K257, " &amp;&amp; ", $S$6)</f>
        <v>selected(data('q16202_5'),'1') &amp;&amp; selected(data('q16201'),'1') &amp;&amp; data('valid_overall') == 1</v>
      </c>
      <c r="T300" s="117"/>
      <c r="Y300" s="45" t="b">
        <v>1</v>
      </c>
    </row>
    <row r="301" spans="1:25" s="45" customFormat="1">
      <c r="A301" s="117"/>
      <c r="B301" s="117"/>
      <c r="C301" s="117"/>
      <c r="D301" s="117"/>
      <c r="E301" s="118"/>
      <c r="F301" s="118"/>
      <c r="G301" s="191"/>
      <c r="I301" s="54"/>
      <c r="J301" s="44" t="s">
        <v>21</v>
      </c>
      <c r="L301" s="54"/>
      <c r="O301" s="312"/>
      <c r="P301" s="117"/>
      <c r="Q301" s="117"/>
      <c r="R301" s="117"/>
      <c r="S301" s="31"/>
      <c r="T301" s="117"/>
    </row>
    <row r="302" spans="1:25" s="45" customFormat="1" ht="45">
      <c r="A302" s="117"/>
      <c r="B302" s="117"/>
      <c r="C302" s="117"/>
      <c r="D302" s="117"/>
      <c r="E302" s="118"/>
      <c r="F302" s="118"/>
      <c r="G302" s="191"/>
      <c r="I302" s="54"/>
      <c r="J302" s="192"/>
      <c r="L302" s="54" t="s">
        <v>18</v>
      </c>
      <c r="M302" s="45" t="s">
        <v>17</v>
      </c>
      <c r="N302" s="45" t="str">
        <f>CONCATENATE("q",$I$19, "_",$I$28)</f>
        <v>q16208_5</v>
      </c>
      <c r="O302" s="312" t="str">
        <f>CONCATENATE(N302, ". ", SUBSTITUTE($E$19, "]الحيوانات[",$E$28))</f>
        <v>q16208_5. خلال الـ12 شهر الماضية، هل قمت ببيع أي من الجمال؟</v>
      </c>
      <c r="P302" s="117" t="str">
        <f>CONCATENATE(N302, ". ", SUBSTITUTE($B$19, "[animal]",$B$28))</f>
        <v>q16208_5. During the past 12 months have you sold any of the  Camels?</v>
      </c>
      <c r="Q302" s="117"/>
      <c r="R302" s="117"/>
      <c r="S302" s="31" t="str">
        <f>CONCATENATE($K257, " &amp;&amp; ", $S$6)</f>
        <v>selected(data('q16202_5'),'1') &amp;&amp; selected(data('q16201'),'1') &amp;&amp; data('valid_overall') == 1</v>
      </c>
      <c r="T302" s="117"/>
      <c r="Y302" s="45" t="b">
        <v>1</v>
      </c>
    </row>
    <row r="303" spans="1:25" s="45" customFormat="1">
      <c r="A303" s="117"/>
      <c r="B303" s="117"/>
      <c r="C303" s="117"/>
      <c r="D303" s="117"/>
      <c r="E303" s="118"/>
      <c r="F303" s="118"/>
      <c r="G303" s="191"/>
      <c r="I303" s="54"/>
      <c r="J303" s="178" t="s">
        <v>24</v>
      </c>
      <c r="L303" s="54"/>
      <c r="O303" s="312"/>
      <c r="P303" s="117"/>
      <c r="Q303" s="117"/>
      <c r="R303" s="117"/>
      <c r="S303" s="31"/>
      <c r="T303" s="117"/>
    </row>
    <row r="304" spans="1:25" s="45" customFormat="1">
      <c r="B304" s="117"/>
      <c r="C304" s="117"/>
      <c r="D304" s="54"/>
      <c r="E304" s="117"/>
      <c r="F304" s="117"/>
      <c r="G304" s="54"/>
      <c r="H304" s="191"/>
      <c r="I304" s="54"/>
      <c r="J304" s="178" t="s">
        <v>23</v>
      </c>
      <c r="K304" s="45" t="str">
        <f>CONCATENATE("selected(data('",N302,"'),'1') &amp;&amp; ",K295)</f>
        <v>selected(data('q16208_5'),'1') &amp;&amp; selected(data('q16202_5'),'1') &amp;&amp; selected(data('q16201'),'1')</v>
      </c>
      <c r="L304" s="54"/>
      <c r="O304" s="312"/>
      <c r="P304" s="117"/>
      <c r="Q304" s="117"/>
      <c r="R304" s="117"/>
      <c r="S304" s="117"/>
      <c r="T304" s="117"/>
    </row>
    <row r="305" spans="1:25" s="45" customFormat="1" ht="60">
      <c r="B305" s="117"/>
      <c r="C305" s="117"/>
      <c r="D305" s="54"/>
      <c r="E305" s="117"/>
      <c r="F305" s="117"/>
      <c r="G305" s="54"/>
      <c r="H305" s="191"/>
      <c r="I305" s="54"/>
      <c r="J305" s="193"/>
      <c r="L305" s="54" t="s">
        <v>19</v>
      </c>
      <c r="N305" s="45" t="str">
        <f>CONCATENATE("q",$I$20, "_",$I$28)</f>
        <v>q16209_5</v>
      </c>
      <c r="O305" s="312" t="str">
        <f>CONCATENATE(N305, ". ", SUBSTITUTE($E$20,  "]الحيوانات[",$E$28))</f>
        <v>q16209_5. كم عدد الجمال  الذى تم بيعه؟</v>
      </c>
      <c r="P305" s="190" t="str">
        <f>CONCATENATE(N305, ". ", SUBSTITUTE($B$20, "[animal]",$B$28))</f>
        <v>q16209_5. How many  Camels have been sold?</v>
      </c>
      <c r="Q305" s="31" t="str">
        <f>$F$20</f>
        <v xml:space="preserve"> في حالة لا أعرف سجل  98</v>
      </c>
      <c r="R305" s="31" t="str">
        <f>$C$20</f>
        <v>*If don't know, write 98</v>
      </c>
      <c r="S305" s="31" t="str">
        <f>CONCATENATE($K304," &amp;&amp; ", $S$6)</f>
        <v>selected(data('q16208_5'),'1') &amp;&amp; selected(data('q16202_5'),'1') &amp;&amp; selected(data('q16201'),'1') &amp;&amp; data('valid_overall') == 1</v>
      </c>
      <c r="T305" s="31"/>
      <c r="Y305" s="45" t="b">
        <v>1</v>
      </c>
    </row>
    <row r="306" spans="1:25" s="45" customFormat="1" ht="60">
      <c r="B306" s="117"/>
      <c r="C306" s="117"/>
      <c r="D306" s="54"/>
      <c r="E306" s="117"/>
      <c r="F306" s="117"/>
      <c r="G306" s="54"/>
      <c r="H306" s="191"/>
      <c r="I306" s="54"/>
      <c r="J306" s="193"/>
      <c r="L306" s="54" t="s">
        <v>19</v>
      </c>
      <c r="N306" s="45" t="str">
        <f>CONCATENATE("q",$I$21, "_",$I$28)</f>
        <v>q16210_5</v>
      </c>
      <c r="O306" s="312" t="str">
        <f>CONCATENATE(N306, ". ", SUBSTITUTE($E$21,  "]الحيوانات[",$E$28))</f>
        <v xml:space="preserve">q16210_5. ما  قيمة البيع الإجمالية من الجمال  ؟ (بالجنيه)
</v>
      </c>
      <c r="P306" s="190" t="str">
        <f>CONCATENATE(N306, ". ", SUBSTITUTE($B$21, "[animal]",$B$28))</f>
        <v>q16210_5. What was the total value of the sales of  Camels ? (in pounds)</v>
      </c>
      <c r="Q306" s="31" t="str">
        <f>$F$21</f>
        <v>في حالة لا أعرف سجل 999998</v>
      </c>
      <c r="R306" s="31" t="str">
        <f>$C$21</f>
        <v xml:space="preserve"> *If don't know, write 999998</v>
      </c>
      <c r="S306" s="31" t="str">
        <f>CONCATENATE($K304," &amp;&amp; ", $S$6)</f>
        <v>selected(data('q16208_5'),'1') &amp;&amp; selected(data('q16202_5'),'1') &amp;&amp; selected(data('q16201'),'1') &amp;&amp; data('valid_overall') == 1</v>
      </c>
      <c r="T306" s="31"/>
      <c r="Y306" s="45" t="b">
        <v>1</v>
      </c>
    </row>
    <row r="307" spans="1:25" s="45" customFormat="1">
      <c r="B307" s="117"/>
      <c r="C307" s="117"/>
      <c r="E307" s="117"/>
      <c r="F307" s="117"/>
      <c r="H307" s="191"/>
      <c r="I307" s="54"/>
      <c r="J307" s="178" t="s">
        <v>42</v>
      </c>
      <c r="L307" s="54"/>
      <c r="O307" s="312"/>
      <c r="P307" s="117"/>
      <c r="Q307" s="117"/>
      <c r="R307" s="117"/>
      <c r="S307" s="117"/>
      <c r="T307" s="117"/>
    </row>
    <row r="308" spans="1:25" s="249" customFormat="1">
      <c r="B308" s="250"/>
      <c r="C308" s="250"/>
      <c r="E308" s="250"/>
      <c r="F308" s="250"/>
      <c r="H308" s="251" t="s">
        <v>792</v>
      </c>
      <c r="I308" s="253"/>
      <c r="J308" s="252"/>
      <c r="L308" s="253"/>
      <c r="O308" s="330"/>
      <c r="P308" s="250"/>
      <c r="Q308" s="250"/>
      <c r="R308" s="250"/>
      <c r="S308" s="250"/>
      <c r="T308" s="250"/>
      <c r="W308" s="45"/>
    </row>
    <row r="309" spans="1:25" s="31" customFormat="1">
      <c r="I309" s="19"/>
      <c r="J309" s="88" t="s">
        <v>23</v>
      </c>
      <c r="K309" s="64" t="str">
        <f>CONCATENATE("selected(data('",$N$6,"'),'1')")</f>
        <v>selected(data('q16201'),'1')</v>
      </c>
      <c r="O309" s="407"/>
    </row>
    <row r="310" spans="1:25" s="45" customFormat="1" ht="60">
      <c r="B310" s="117"/>
      <c r="C310" s="117"/>
      <c r="D310" s="117"/>
      <c r="E310" s="117"/>
      <c r="F310" s="117"/>
      <c r="G310" s="118"/>
      <c r="I310" s="54"/>
      <c r="L310" s="54" t="s">
        <v>18</v>
      </c>
      <c r="M310" s="45" t="s">
        <v>17</v>
      </c>
      <c r="N310" s="45" t="str">
        <f>CONCATENATE("q",$I$8, "_",$I$29)</f>
        <v>q16202_6</v>
      </c>
      <c r="O310" s="312" t="str">
        <f>CONCATENATE(SUBSTITUTE(N310, "q",""), ". ", SUBSTITUTE($E$8, "]الحيوانات[",$E$29))</f>
        <v>16202_6. هل تمتلك الأسرة أو أي من أفرادها أي الحمير/البغال؟</v>
      </c>
      <c r="P310" s="190" t="str">
        <f>CONCATENATE(N310, ". ", SUBSTITUTE($B$8, "[animal]",$B$29))</f>
        <v>q16202_6. Does any member of your household currently have any Donkeys/Mules?</v>
      </c>
      <c r="Q310" s="117"/>
      <c r="R310" s="117"/>
      <c r="S310" s="117" t="str">
        <f>CONCATENATE($K309, " &amp;&amp; ", $S$6)</f>
        <v>selected(data('q16201'),'1') &amp;&amp; data('valid_overall') == 1</v>
      </c>
      <c r="T310" s="117"/>
      <c r="W310" s="117"/>
      <c r="X310" s="117"/>
      <c r="Y310" s="45" t="b">
        <v>1</v>
      </c>
    </row>
    <row r="311" spans="1:25" s="45" customFormat="1">
      <c r="B311" s="117"/>
      <c r="C311" s="117"/>
      <c r="D311" s="117"/>
      <c r="E311" s="117"/>
      <c r="F311" s="117"/>
      <c r="G311" s="118"/>
      <c r="I311" s="54"/>
      <c r="J311" s="178" t="s">
        <v>24</v>
      </c>
      <c r="L311" s="54"/>
      <c r="O311" s="312"/>
      <c r="P311" s="190"/>
      <c r="Q311" s="117"/>
      <c r="R311" s="117"/>
      <c r="S311" s="117"/>
      <c r="T311" s="117"/>
      <c r="W311" s="117"/>
      <c r="X311" s="117"/>
    </row>
    <row r="312" spans="1:25" s="45" customFormat="1">
      <c r="I312" s="15"/>
      <c r="J312" s="178" t="s">
        <v>23</v>
      </c>
      <c r="K312" s="45" t="str">
        <f>CONCATENATE("selected(data('",N310,"'),'1') &amp;&amp; ", K309)</f>
        <v>selected(data('q16202_6'),'1') &amp;&amp; selected(data('q16201'),'1')</v>
      </c>
      <c r="L312" s="54"/>
      <c r="O312" s="312"/>
      <c r="P312" s="117"/>
      <c r="Q312" s="117"/>
      <c r="R312" s="117"/>
      <c r="S312" s="117"/>
      <c r="T312" s="117"/>
    </row>
    <row r="313" spans="1:25" s="45" customFormat="1" ht="60">
      <c r="B313" s="117"/>
      <c r="C313" s="117"/>
      <c r="D313" s="54"/>
      <c r="E313" s="117"/>
      <c r="F313" s="117"/>
      <c r="G313" s="54"/>
      <c r="H313" s="191"/>
      <c r="I313" s="54"/>
      <c r="J313" s="178"/>
      <c r="L313" s="54" t="s">
        <v>19</v>
      </c>
      <c r="N313" s="45" t="str">
        <f>CONCATENATE("q",$I$9, "_",$I$29)</f>
        <v>q16203_6</v>
      </c>
      <c r="O313" s="312" t="str">
        <f>CONCATENATE(SUBSTITUTE(N313, "q",""), ". ", SUBSTITUTE($E$9, "]الحيوانات[",$E$29))</f>
        <v>16203_6. كم عدد الحمير/البغال التي تملكها الأسرة خلص أو مشاركة؟</v>
      </c>
      <c r="P313" s="117" t="str">
        <f>CONCATENATE(N313, ". ", SUBSTITUTE($B$9, "[animal]",$B$29))</f>
        <v>q16203_6. How many  Donkeys/Mules does your household currently own entirely or with sharing?</v>
      </c>
      <c r="Q313" s="117"/>
      <c r="R313" s="117"/>
      <c r="S313" s="31" t="str">
        <f>CONCATENATE($K312, " &amp;&amp; ", $S$6)</f>
        <v>selected(data('q16202_6'),'1') &amp;&amp; selected(data('q16201'),'1') &amp;&amp; data('valid_overall') == 1</v>
      </c>
      <c r="T313" s="117"/>
      <c r="Y313" s="45" t="b">
        <v>1</v>
      </c>
    </row>
    <row r="314" spans="1:25" s="45" customFormat="1" ht="75">
      <c r="B314" s="117"/>
      <c r="C314" s="117"/>
      <c r="D314" s="117"/>
      <c r="E314" s="117"/>
      <c r="F314" s="117"/>
      <c r="G314" s="54"/>
      <c r="H314" s="191"/>
      <c r="I314" s="54"/>
      <c r="J314" s="159"/>
      <c r="K314" s="19"/>
      <c r="L314" s="54" t="s">
        <v>18</v>
      </c>
      <c r="M314" s="19" t="s">
        <v>17</v>
      </c>
      <c r="N314" s="54" t="str">
        <f>CONCATENATE("q",$I$10, "_",$I$29,"a")</f>
        <v>q16204_6a</v>
      </c>
      <c r="O314" s="312" t="str">
        <f>CONCATENATE(SUBSTITUTE(N314, "q",""), ". ", SUBSTITUTE($E$10, "]الحيوانات[",$E$29))</f>
        <v>16204_6a. هل الشخص الرئيسي الذي يرعى الحمير/البغال هو أحد أفراد الأسرة؟</v>
      </c>
      <c r="P314" s="117" t="str">
        <f>CONCATENATE(N314, ". ", SUBSTITUTE($B$10, "[animal]",$B$29))</f>
        <v>q16204_6a. Is the primary person who takes care of the Donkeys/Mules a member of the household?</v>
      </c>
      <c r="Q314" s="117"/>
      <c r="R314" s="117"/>
      <c r="S314" s="31" t="str">
        <f>CONCATENATE($K312, " &amp;&amp; ", $S$6)</f>
        <v>selected(data('q16202_6'),'1') &amp;&amp; selected(data('q16201'),'1') &amp;&amp; data('valid_overall') == 1</v>
      </c>
      <c r="T314" s="117"/>
      <c r="Y314" s="45" t="b">
        <v>1</v>
      </c>
    </row>
    <row r="315" spans="1:25" s="45" customFormat="1">
      <c r="B315" s="117"/>
      <c r="C315" s="117"/>
      <c r="D315" s="117"/>
      <c r="E315" s="117"/>
      <c r="F315" s="117"/>
      <c r="G315" s="54"/>
      <c r="H315" s="191"/>
      <c r="I315" s="54"/>
      <c r="J315" s="88" t="s">
        <v>24</v>
      </c>
      <c r="K315" s="19"/>
      <c r="L315" s="54"/>
      <c r="M315" s="19"/>
      <c r="N315" s="54"/>
      <c r="O315" s="312"/>
      <c r="P315" s="117"/>
      <c r="Q315" s="117"/>
      <c r="R315" s="117"/>
      <c r="S315" s="31"/>
      <c r="T315" s="117"/>
    </row>
    <row r="316" spans="1:25" s="45" customFormat="1">
      <c r="B316" s="117"/>
      <c r="C316" s="117"/>
      <c r="D316" s="117"/>
      <c r="E316" s="117"/>
      <c r="F316" s="117"/>
      <c r="G316" s="54"/>
      <c r="H316" s="191"/>
      <c r="I316" s="54"/>
      <c r="J316" s="178" t="s">
        <v>23</v>
      </c>
      <c r="K316" s="44" t="str">
        <f>CONCATENATE("selected(data('",N314,"'),'1') &amp;&amp; ", K312)</f>
        <v>selected(data('q16204_6a'),'1') &amp;&amp; selected(data('q16202_6'),'1') &amp;&amp; selected(data('q16201'),'1')</v>
      </c>
      <c r="L316" s="54"/>
      <c r="M316" s="19"/>
      <c r="N316" s="54"/>
      <c r="O316" s="312"/>
      <c r="P316" s="117"/>
      <c r="Q316" s="117"/>
      <c r="R316" s="117"/>
      <c r="S316" s="117"/>
      <c r="T316" s="117"/>
    </row>
    <row r="317" spans="1:25" s="45" customFormat="1" ht="75">
      <c r="A317" s="117"/>
      <c r="B317" s="54"/>
      <c r="C317" s="54"/>
      <c r="D317" s="117"/>
      <c r="E317" s="54"/>
      <c r="F317" s="54"/>
      <c r="G317" s="191"/>
      <c r="I317" s="54"/>
      <c r="J317" s="159"/>
      <c r="K317" s="19"/>
      <c r="L317" s="19" t="s">
        <v>174</v>
      </c>
      <c r="M317" s="19" t="s">
        <v>206</v>
      </c>
      <c r="N317" s="54" t="str">
        <f>CONCATENATE("q",$I$11, "_",$I$29,"a")</f>
        <v>q16205_6a</v>
      </c>
      <c r="O317" s="312" t="str">
        <f>CONCATENATE(SUBSTITUTE(N317, "q",""),, ". ", SUBSTITUTE($E$11, "]الحيوانات[",$E$29))</f>
        <v>16205_6a. من الشخص المسؤول عن رعاية الحمير/البغال في الأسرة؟ أول فرد</v>
      </c>
      <c r="P317" s="117" t="str">
        <f>CONCATENATE(N317, ". ", SUBSTITUTE($B$11, "[animal]",$B$29))</f>
        <v>q16205_6a. Who is the primary person who takes care of the Donkeys/Mules? First member</v>
      </c>
      <c r="Q317" s="117"/>
      <c r="R317" s="117"/>
      <c r="S317" s="31" t="str">
        <f>CONCATENATE($K316, " &amp;&amp; ", $S$6)</f>
        <v>selected(data('q16204_6a'),'1') &amp;&amp; selected(data('q16202_6'),'1') &amp;&amp; selected(data('q16201'),'1') &amp;&amp; data('valid_overall') == 1</v>
      </c>
      <c r="T317" s="117"/>
      <c r="Y317" s="45" t="b">
        <v>1</v>
      </c>
    </row>
    <row r="318" spans="1:25" s="45" customFormat="1">
      <c r="A318" s="117"/>
      <c r="B318" s="54"/>
      <c r="C318" s="54"/>
      <c r="D318" s="117"/>
      <c r="E318" s="54"/>
      <c r="F318" s="54"/>
      <c r="G318" s="191"/>
      <c r="I318" s="54"/>
      <c r="J318" s="178" t="s">
        <v>24</v>
      </c>
      <c r="K318" s="19"/>
      <c r="L318" s="19"/>
      <c r="M318" s="19"/>
      <c r="N318" s="54"/>
      <c r="O318" s="312"/>
      <c r="P318" s="117"/>
      <c r="Q318" s="117"/>
      <c r="R318" s="117"/>
      <c r="S318" s="31"/>
      <c r="T318" s="117"/>
    </row>
    <row r="319" spans="1:25" s="45" customFormat="1">
      <c r="A319" s="117"/>
      <c r="B319" s="175"/>
      <c r="C319" s="175"/>
      <c r="D319" s="117"/>
      <c r="I319" s="54"/>
      <c r="J319" s="178" t="s">
        <v>23</v>
      </c>
      <c r="K319" s="54" t="str">
        <f>K312</f>
        <v>selected(data('q16202_6'),'1') &amp;&amp; selected(data('q16201'),'1')</v>
      </c>
      <c r="L319" s="174"/>
      <c r="M319" s="174"/>
      <c r="N319" s="174"/>
      <c r="O319" s="312"/>
      <c r="P319" s="117"/>
      <c r="Q319" s="117"/>
      <c r="R319" s="117"/>
      <c r="S319" s="117"/>
      <c r="T319" s="117"/>
      <c r="W319" s="117"/>
      <c r="X319" s="117"/>
    </row>
    <row r="320" spans="1:25" s="45" customFormat="1">
      <c r="A320" s="117"/>
      <c r="B320" s="175"/>
      <c r="C320" s="175"/>
      <c r="D320" s="117"/>
      <c r="I320" s="54"/>
      <c r="J320" s="44" t="s">
        <v>20</v>
      </c>
      <c r="K320" s="54"/>
      <c r="L320" s="174"/>
      <c r="M320" s="174"/>
      <c r="N320" s="174"/>
      <c r="O320" s="312"/>
      <c r="P320" s="117"/>
      <c r="Q320" s="117"/>
      <c r="R320" s="117"/>
      <c r="S320" s="117"/>
      <c r="T320" s="117"/>
      <c r="W320" s="117"/>
      <c r="X320" s="117"/>
    </row>
    <row r="321" spans="1:25" s="45" customFormat="1">
      <c r="A321" s="117"/>
      <c r="B321" s="175"/>
      <c r="C321" s="175"/>
      <c r="D321" s="117"/>
      <c r="I321" s="54"/>
      <c r="J321" s="176" t="s">
        <v>23</v>
      </c>
      <c r="K321" s="54" t="str">
        <f>K316</f>
        <v>selected(data('q16204_6a'),'1') &amp;&amp; selected(data('q16202_6'),'1') &amp;&amp; selected(data('q16201'),'1')</v>
      </c>
      <c r="L321" s="174"/>
      <c r="M321" s="174"/>
      <c r="N321" s="174"/>
      <c r="O321" s="312"/>
      <c r="P321" s="117"/>
      <c r="Q321" s="117"/>
      <c r="R321" s="117"/>
      <c r="S321" s="117"/>
      <c r="T321" s="117"/>
      <c r="W321" s="117"/>
      <c r="X321" s="117"/>
    </row>
    <row r="322" spans="1:25" s="45" customFormat="1">
      <c r="A322" s="117"/>
      <c r="B322" s="175"/>
      <c r="C322" s="175"/>
      <c r="D322" s="117"/>
      <c r="I322" s="54"/>
      <c r="K322" s="54"/>
      <c r="L322" s="174" t="s">
        <v>413</v>
      </c>
      <c r="M322" s="174" t="str">
        <f>CONCATENATE(M317,"_line_",N317)</f>
        <v>roster_line_q16205_6a</v>
      </c>
      <c r="N322" s="174" t="str">
        <f>CONCATENATE(N317,"_1")</f>
        <v>q16205_6a_1</v>
      </c>
      <c r="O322" s="312"/>
      <c r="P322" s="117"/>
      <c r="Q322" s="117"/>
      <c r="R322" s="117"/>
      <c r="S322" s="117" t="str">
        <f>S317</f>
        <v>selected(data('q16204_6a'),'1') &amp;&amp; selected(data('q16202_6'),'1') &amp;&amp; selected(data('q16201'),'1') &amp;&amp; data('valid_overall') == 1</v>
      </c>
      <c r="T322" s="117"/>
      <c r="W322" s="117"/>
      <c r="X322" s="117"/>
      <c r="Y322" s="45" t="b">
        <v>1</v>
      </c>
    </row>
    <row r="323" spans="1:25" s="45" customFormat="1">
      <c r="A323" s="117"/>
      <c r="B323" s="175"/>
      <c r="C323" s="175"/>
      <c r="D323" s="117"/>
      <c r="I323" s="54"/>
      <c r="J323" s="176" t="s">
        <v>24</v>
      </c>
      <c r="K323" s="54"/>
      <c r="L323" s="174"/>
      <c r="M323" s="174"/>
      <c r="N323" s="174"/>
      <c r="O323" s="312"/>
      <c r="P323" s="117"/>
      <c r="Q323" s="117"/>
      <c r="R323" s="117"/>
      <c r="S323" s="117"/>
      <c r="T323" s="117"/>
      <c r="W323" s="117"/>
      <c r="X323" s="117"/>
    </row>
    <row r="324" spans="1:25" s="45" customFormat="1" ht="60">
      <c r="A324" s="117"/>
      <c r="B324" s="175"/>
      <c r="C324" s="175"/>
      <c r="D324" s="117"/>
      <c r="I324" s="54"/>
      <c r="K324" s="54"/>
      <c r="L324" s="174" t="s">
        <v>18</v>
      </c>
      <c r="M324" s="19" t="s">
        <v>17</v>
      </c>
      <c r="N324" s="54" t="str">
        <f>CONCATENATE("q",$I$12, "_",$I$29,"a")</f>
        <v>q16206_6a</v>
      </c>
      <c r="O324" s="312" t="str">
        <f>CONCATENATE(SUBSTITUTE(N324, "q",""),, ". ", SUBSTITUTE($E$12, "]الحيوانات[",$E$29))</f>
        <v>16206_6a. هل هناك شخص آخر يرعى الحمير/البغال؟</v>
      </c>
      <c r="P324" s="117" t="str">
        <f>CONCATENATE(N324, ". ", SUBSTITUTE($B$12, "[animal]",$B$29))</f>
        <v>q16206_6a. Is there another person who takes care of the Donkeys/Mules?</v>
      </c>
      <c r="Q324" s="117"/>
      <c r="R324" s="117"/>
      <c r="S324" s="31" t="str">
        <f>CONCATENATE($K319, " &amp;&amp; ", $S$6)</f>
        <v>selected(data('q16202_6'),'1') &amp;&amp; selected(data('q16201'),'1') &amp;&amp; data('valid_overall') == 1</v>
      </c>
      <c r="T324" s="117"/>
      <c r="W324" s="117"/>
      <c r="X324" s="117"/>
      <c r="Y324" s="45" t="b">
        <v>1</v>
      </c>
    </row>
    <row r="325" spans="1:25" s="45" customFormat="1">
      <c r="A325" s="117"/>
      <c r="B325" s="175"/>
      <c r="C325" s="175"/>
      <c r="D325" s="117"/>
      <c r="I325" s="54"/>
      <c r="J325" s="45" t="s">
        <v>21</v>
      </c>
      <c r="K325" s="54"/>
      <c r="L325" s="174"/>
      <c r="M325" s="19"/>
      <c r="N325" s="54"/>
      <c r="O325" s="312"/>
      <c r="P325" s="117"/>
      <c r="Q325" s="117"/>
      <c r="R325" s="117"/>
      <c r="S325" s="31"/>
      <c r="T325" s="117"/>
      <c r="W325" s="117"/>
      <c r="X325" s="117"/>
    </row>
    <row r="326" spans="1:25" s="45" customFormat="1">
      <c r="A326" s="117"/>
      <c r="B326" s="175"/>
      <c r="C326" s="175"/>
      <c r="D326" s="117"/>
      <c r="I326" s="54"/>
      <c r="J326" s="178" t="s">
        <v>24</v>
      </c>
      <c r="K326" s="54"/>
      <c r="L326" s="174"/>
      <c r="M326" s="19"/>
      <c r="N326" s="54"/>
      <c r="O326" s="312"/>
      <c r="P326" s="117"/>
      <c r="Q326" s="117"/>
      <c r="R326" s="117"/>
      <c r="S326" s="31"/>
      <c r="T326" s="117"/>
      <c r="W326" s="117"/>
      <c r="X326" s="117"/>
    </row>
    <row r="327" spans="1:25" s="45" customFormat="1">
      <c r="A327" s="117"/>
      <c r="B327" s="175"/>
      <c r="C327" s="175"/>
      <c r="D327" s="117"/>
      <c r="I327" s="54"/>
      <c r="J327" s="178" t="s">
        <v>23</v>
      </c>
      <c r="K327" s="44" t="str">
        <f>CONCATENATE("selected(data('",N324,"'),'1') &amp;&amp; ",K319)</f>
        <v>selected(data('q16206_6a'),'1') &amp;&amp; selected(data('q16202_6'),'1') &amp;&amp; selected(data('q16201'),'1')</v>
      </c>
      <c r="L327" s="174"/>
      <c r="M327" s="174"/>
      <c r="N327" s="54"/>
      <c r="O327" s="312"/>
      <c r="P327" s="117"/>
      <c r="Q327" s="117"/>
      <c r="R327" s="117"/>
      <c r="S327" s="117"/>
      <c r="T327" s="117"/>
      <c r="W327" s="117"/>
      <c r="X327" s="117"/>
    </row>
    <row r="328" spans="1:25" s="45" customFormat="1">
      <c r="A328" s="117"/>
      <c r="B328" s="175"/>
      <c r="C328" s="175"/>
      <c r="D328" s="117"/>
      <c r="I328" s="54"/>
      <c r="J328" s="44" t="s">
        <v>20</v>
      </c>
      <c r="K328" s="44"/>
      <c r="L328" s="174"/>
      <c r="M328" s="174"/>
      <c r="N328" s="54"/>
      <c r="O328" s="312"/>
      <c r="P328" s="117"/>
      <c r="Q328" s="117"/>
      <c r="R328" s="117"/>
      <c r="S328" s="117"/>
      <c r="T328" s="117"/>
      <c r="W328" s="117"/>
      <c r="X328" s="117"/>
    </row>
    <row r="329" spans="1:25" s="45" customFormat="1" ht="75">
      <c r="A329" s="117"/>
      <c r="B329" s="175"/>
      <c r="C329" s="175"/>
      <c r="D329" s="117"/>
      <c r="I329" s="54"/>
      <c r="K329" s="54"/>
      <c r="L329" s="174" t="s">
        <v>18</v>
      </c>
      <c r="M329" s="19" t="s">
        <v>17</v>
      </c>
      <c r="N329" s="54" t="str">
        <f>CONCATENATE("q",$I$13, "_",$I$29,"b")</f>
        <v>q16204_6b</v>
      </c>
      <c r="O329" s="312" t="str">
        <f>CONCATENATE(SUBSTITUTE(N329, "q",""),, ". ", SUBSTITUTE($E$13, "]الحيوانات[",$E$29))</f>
        <v>16204_6b. هل الشخص الثاني الذي يرعى الحمير/البغال هو أحد أفراد الأسرة؟</v>
      </c>
      <c r="P329" s="117" t="str">
        <f>CONCATENATE(N329, ". ", SUBSTITUTE($B$13, "[animal]",$B$29))</f>
        <v>q16204_6b. Is the second person who takes care of the Donkeys/Mules a member of the household?</v>
      </c>
      <c r="Q329" s="117"/>
      <c r="R329" s="117"/>
      <c r="S329" s="31" t="str">
        <f>CONCATENATE($K327, " &amp;&amp; ", $S$6)</f>
        <v>selected(data('q16206_6a'),'1') &amp;&amp; selected(data('q16202_6'),'1') &amp;&amp; selected(data('q16201'),'1') &amp;&amp; data('valid_overall') == 1</v>
      </c>
      <c r="T329" s="117"/>
      <c r="W329" s="117"/>
      <c r="X329" s="117"/>
      <c r="Y329" s="45" t="b">
        <v>1</v>
      </c>
    </row>
    <row r="330" spans="1:25" s="45" customFormat="1">
      <c r="A330" s="117"/>
      <c r="B330" s="175"/>
      <c r="C330" s="175"/>
      <c r="D330" s="117"/>
      <c r="I330" s="54"/>
      <c r="J330" s="45" t="s">
        <v>21</v>
      </c>
      <c r="K330" s="54"/>
      <c r="L330" s="174"/>
      <c r="M330" s="19"/>
      <c r="N330" s="54"/>
      <c r="O330" s="312"/>
      <c r="P330" s="117"/>
      <c r="Q330" s="117"/>
      <c r="R330" s="117"/>
      <c r="S330" s="31"/>
      <c r="T330" s="117"/>
      <c r="W330" s="117"/>
      <c r="X330" s="117"/>
    </row>
    <row r="331" spans="1:25" s="45" customFormat="1">
      <c r="A331" s="117"/>
      <c r="B331" s="175"/>
      <c r="C331" s="175"/>
      <c r="D331" s="117"/>
      <c r="I331" s="54"/>
      <c r="J331" s="178" t="s">
        <v>24</v>
      </c>
      <c r="K331" s="54"/>
      <c r="L331" s="174"/>
      <c r="M331" s="19"/>
      <c r="N331" s="54"/>
      <c r="O331" s="312"/>
      <c r="P331" s="117"/>
      <c r="Q331" s="117"/>
      <c r="R331" s="117"/>
      <c r="S331" s="31"/>
      <c r="T331" s="117"/>
      <c r="W331" s="117"/>
      <c r="X331" s="117"/>
    </row>
    <row r="332" spans="1:25" s="45" customFormat="1">
      <c r="A332" s="117"/>
      <c r="B332" s="175"/>
      <c r="C332" s="175"/>
      <c r="D332" s="117"/>
      <c r="I332" s="54"/>
      <c r="J332" s="178" t="s">
        <v>23</v>
      </c>
      <c r="K332" s="44" t="str">
        <f>CONCATENATE("selected(data('",N329,"'),'1') &amp;&amp;", K327)</f>
        <v>selected(data('q16204_6b'),'1') &amp;&amp;selected(data('q16206_6a'),'1') &amp;&amp; selected(data('q16202_6'),'1') &amp;&amp; selected(data('q16201'),'1')</v>
      </c>
      <c r="L332" s="174"/>
      <c r="M332" s="174"/>
      <c r="N332" s="54"/>
      <c r="O332" s="312"/>
      <c r="P332" s="117"/>
      <c r="Q332" s="117"/>
      <c r="R332" s="117"/>
      <c r="S332" s="117"/>
      <c r="T332" s="117"/>
      <c r="W332" s="117"/>
      <c r="X332" s="117"/>
    </row>
    <row r="333" spans="1:25" s="45" customFormat="1" ht="75">
      <c r="A333" s="117"/>
      <c r="B333" s="54"/>
      <c r="C333" s="54"/>
      <c r="D333" s="117"/>
      <c r="E333" s="54"/>
      <c r="F333" s="54"/>
      <c r="G333" s="191"/>
      <c r="I333" s="54"/>
      <c r="J333" s="159"/>
      <c r="K333" s="19"/>
      <c r="L333" s="19" t="s">
        <v>174</v>
      </c>
      <c r="M333" s="19" t="s">
        <v>206</v>
      </c>
      <c r="N333" s="54" t="str">
        <f>CONCATENATE("q",$I$14, "_",$I$29,"b")</f>
        <v>q16205_6b</v>
      </c>
      <c r="O333" s="312" t="str">
        <f>CONCATENATE(SUBSTITUTE(N333, "q",""), ". ", SUBSTITUTE($E$14, "]الحيوانات[",$E$29))</f>
        <v xml:space="preserve">16205_6b. من الشخص المسؤول عن رعاية الحمير/البغال في الأسرة؟ الفرد الثاني </v>
      </c>
      <c r="P333" s="117" t="str">
        <f>CONCATENATE(N333, ". ", SUBSTITUTE($B$14, "[animal]",$B$29))</f>
        <v>q16205_6b. Who is the person who takes care of the Donkeys/Mules? Second member</v>
      </c>
      <c r="Q333" s="117"/>
      <c r="R333" s="117"/>
      <c r="S333" s="31" t="str">
        <f>CONCATENATE($K332, " &amp;&amp; ", $S$6)</f>
        <v>selected(data('q16204_6b'),'1') &amp;&amp;selected(data('q16206_6a'),'1') &amp;&amp; selected(data('q16202_6'),'1') &amp;&amp; selected(data('q16201'),'1') &amp;&amp; data('valid_overall') == 1</v>
      </c>
      <c r="T333" s="117"/>
      <c r="Y333" s="45" t="b">
        <v>1</v>
      </c>
    </row>
    <row r="334" spans="1:25" s="45" customFormat="1">
      <c r="A334" s="117"/>
      <c r="B334" s="54"/>
      <c r="C334" s="54"/>
      <c r="D334" s="117"/>
      <c r="E334" s="54"/>
      <c r="F334" s="54"/>
      <c r="G334" s="191"/>
      <c r="I334" s="54"/>
      <c r="J334" s="88" t="s">
        <v>24</v>
      </c>
      <c r="K334" s="19"/>
      <c r="L334" s="19"/>
      <c r="M334" s="19"/>
      <c r="N334" s="54"/>
      <c r="O334" s="312"/>
      <c r="P334" s="117"/>
      <c r="Q334" s="117"/>
      <c r="R334" s="117"/>
      <c r="S334" s="31"/>
      <c r="T334" s="117"/>
      <c r="V334" s="31"/>
      <c r="W334" s="31"/>
      <c r="X334" s="31"/>
    </row>
    <row r="335" spans="1:25" s="45" customFormat="1">
      <c r="A335" s="117"/>
      <c r="B335" s="175"/>
      <c r="C335" s="175"/>
      <c r="D335" s="117"/>
      <c r="I335" s="54"/>
      <c r="J335" s="178" t="s">
        <v>23</v>
      </c>
      <c r="K335" s="54" t="str">
        <f>K327</f>
        <v>selected(data('q16206_6a'),'1') &amp;&amp; selected(data('q16202_6'),'1') &amp;&amp; selected(data('q16201'),'1')</v>
      </c>
      <c r="L335" s="174"/>
      <c r="M335" s="174"/>
      <c r="N335" s="174"/>
      <c r="O335" s="312"/>
      <c r="P335" s="117"/>
      <c r="Q335" s="117"/>
      <c r="R335" s="117"/>
      <c r="S335" s="117"/>
      <c r="T335" s="117"/>
      <c r="W335" s="117"/>
      <c r="X335" s="117"/>
    </row>
    <row r="336" spans="1:25" s="45" customFormat="1">
      <c r="A336" s="117"/>
      <c r="B336" s="175"/>
      <c r="C336" s="175"/>
      <c r="D336" s="117"/>
      <c r="I336" s="54"/>
      <c r="J336" s="44" t="s">
        <v>20</v>
      </c>
      <c r="K336" s="54"/>
      <c r="L336" s="174"/>
      <c r="M336" s="174"/>
      <c r="N336" s="174"/>
      <c r="O336" s="312"/>
      <c r="P336" s="117"/>
      <c r="Q336" s="117"/>
      <c r="R336" s="117"/>
      <c r="S336" s="117"/>
      <c r="T336" s="117"/>
      <c r="W336" s="117"/>
      <c r="X336" s="117"/>
    </row>
    <row r="337" spans="1:25" s="45" customFormat="1">
      <c r="A337" s="117"/>
      <c r="B337" s="175"/>
      <c r="C337" s="175"/>
      <c r="D337" s="117"/>
      <c r="I337" s="54"/>
      <c r="J337" s="176" t="s">
        <v>23</v>
      </c>
      <c r="K337" s="54" t="str">
        <f>K332</f>
        <v>selected(data('q16204_6b'),'1') &amp;&amp;selected(data('q16206_6a'),'1') &amp;&amp; selected(data('q16202_6'),'1') &amp;&amp; selected(data('q16201'),'1')</v>
      </c>
      <c r="L337" s="174"/>
      <c r="M337" s="174"/>
      <c r="N337" s="174"/>
      <c r="O337" s="312"/>
      <c r="P337" s="117"/>
      <c r="Q337" s="117"/>
      <c r="R337" s="117"/>
      <c r="S337" s="117"/>
      <c r="T337" s="117"/>
      <c r="W337" s="117"/>
      <c r="X337" s="117"/>
    </row>
    <row r="338" spans="1:25" s="45" customFormat="1" ht="105">
      <c r="A338" s="117"/>
      <c r="B338" s="175"/>
      <c r="C338" s="175"/>
      <c r="D338" s="117"/>
      <c r="I338" s="54"/>
      <c r="J338" s="44"/>
      <c r="K338" s="54"/>
      <c r="L338" s="174" t="s">
        <v>413</v>
      </c>
      <c r="M338" s="174" t="str">
        <f>CONCATENATE(M333,"_line_",N333)</f>
        <v>roster_line_q16205_6b</v>
      </c>
      <c r="N338" s="174" t="str">
        <f>CONCATENATE(N333,"_1")</f>
        <v>q16205_6b_1</v>
      </c>
      <c r="O338" s="312"/>
      <c r="P338" s="117"/>
      <c r="Q338" s="117"/>
      <c r="R338" s="117"/>
      <c r="S338" s="117" t="str">
        <f>S333</f>
        <v>selected(data('q16204_6b'),'1') &amp;&amp;selected(data('q16206_6a'),'1') &amp;&amp; selected(data('q16202_6'),'1') &amp;&amp; selected(data('q16201'),'1') &amp;&amp; data('valid_overall') == 1</v>
      </c>
      <c r="T338" s="117"/>
      <c r="V338" s="31" t="str">
        <f>CONCATENATE("(data('",N322,"') != data('",N338,"')) || selected(data('",N324,"'), '2')   || selected(data('",N314,"'), '2')  || selected(data('",N329,"'), '2')  || selected(data('",N310,"'), '2') || selected(data('",$N$6,"'),'2') || data('valid_overall') == 0")</f>
        <v>(data('q16205_6a_1') != data('q16205_6b_1')) || selected(data('q16206_6a'), '2')   || selected(data('q16204_6a'), '2')  || selected(data('q16204_6b'), '2')  || selected(data('q16202_6'), '2') || selected(data('q16201'),'2') || data('valid_overall') == 0</v>
      </c>
      <c r="W338" s="31" t="s">
        <v>1033</v>
      </c>
      <c r="X338" s="31" t="s">
        <v>555</v>
      </c>
      <c r="Y338" s="45" t="b">
        <v>1</v>
      </c>
    </row>
    <row r="339" spans="1:25" s="45" customFormat="1">
      <c r="A339" s="117"/>
      <c r="B339" s="175"/>
      <c r="C339" s="175"/>
      <c r="D339" s="117"/>
      <c r="I339" s="54"/>
      <c r="J339" s="176" t="s">
        <v>24</v>
      </c>
      <c r="K339" s="54"/>
      <c r="L339" s="174"/>
      <c r="M339" s="174"/>
      <c r="N339" s="174"/>
      <c r="O339" s="312"/>
      <c r="P339" s="117"/>
      <c r="Q339" s="117"/>
      <c r="R339" s="117"/>
      <c r="S339" s="117"/>
      <c r="T339" s="117"/>
      <c r="W339" s="117"/>
      <c r="X339" s="117"/>
    </row>
    <row r="340" spans="1:25" s="45" customFormat="1" ht="60">
      <c r="A340" s="117"/>
      <c r="B340" s="175"/>
      <c r="C340" s="175"/>
      <c r="D340" s="117"/>
      <c r="I340" s="54"/>
      <c r="K340" s="54"/>
      <c r="L340" s="174" t="s">
        <v>18</v>
      </c>
      <c r="M340" s="19" t="s">
        <v>17</v>
      </c>
      <c r="N340" s="54" t="str">
        <f>CONCATENATE("q",$I$15, "_",$I$29,"b")</f>
        <v>q16206_6b</v>
      </c>
      <c r="O340" s="312" t="str">
        <f>CONCATENATE(SUBSTITUTE(N340, "q",""),, ". ", SUBSTITUTE($E$15, "]الحيوانات[",$E$29))</f>
        <v>16206_6b. هل هناك شخص آخر يرعى الحمير/البغال؟</v>
      </c>
      <c r="P340" s="117" t="str">
        <f>CONCATENATE(N340, ". ", SUBSTITUTE($B$15, "[animal]",$B$29))</f>
        <v>q16206_6b. Is there another person who takes care of the Donkeys/Mules?</v>
      </c>
      <c r="Q340" s="117"/>
      <c r="R340" s="117"/>
      <c r="S340" s="31" t="str">
        <f>CONCATENATE($K335, " &amp;&amp; ", $S$6)</f>
        <v>selected(data('q16206_6a'),'1') &amp;&amp; selected(data('q16202_6'),'1') &amp;&amp; selected(data('q16201'),'1') &amp;&amp; data('valid_overall') == 1</v>
      </c>
      <c r="T340" s="117"/>
      <c r="W340" s="117"/>
      <c r="X340" s="117"/>
      <c r="Y340" s="45" t="b">
        <v>1</v>
      </c>
    </row>
    <row r="341" spans="1:25" s="45" customFormat="1">
      <c r="A341" s="117"/>
      <c r="B341" s="175"/>
      <c r="C341" s="175"/>
      <c r="D341" s="117"/>
      <c r="I341" s="54"/>
      <c r="J341" s="45" t="s">
        <v>21</v>
      </c>
      <c r="K341" s="54"/>
      <c r="L341" s="174"/>
      <c r="M341" s="19"/>
      <c r="N341" s="54"/>
      <c r="O341" s="312"/>
      <c r="P341" s="117"/>
      <c r="Q341" s="117"/>
      <c r="R341" s="117"/>
      <c r="S341" s="31"/>
      <c r="T341" s="117"/>
      <c r="W341" s="117"/>
      <c r="X341" s="117"/>
    </row>
    <row r="342" spans="1:25" s="45" customFormat="1">
      <c r="A342" s="117"/>
      <c r="B342" s="175"/>
      <c r="C342" s="175"/>
      <c r="D342" s="117"/>
      <c r="I342" s="54"/>
      <c r="J342" s="178" t="s">
        <v>24</v>
      </c>
      <c r="K342" s="54"/>
      <c r="L342" s="174"/>
      <c r="M342" s="19"/>
      <c r="N342" s="54"/>
      <c r="O342" s="312" t="s">
        <v>471</v>
      </c>
      <c r="P342" s="117"/>
      <c r="Q342" s="117"/>
      <c r="R342" s="117"/>
      <c r="S342" s="31"/>
      <c r="T342" s="117"/>
      <c r="W342" s="117"/>
      <c r="X342" s="117"/>
    </row>
    <row r="343" spans="1:25" s="45" customFormat="1">
      <c r="A343" s="117"/>
      <c r="B343" s="175"/>
      <c r="C343" s="175"/>
      <c r="D343" s="117"/>
      <c r="I343" s="54"/>
      <c r="J343" s="178" t="s">
        <v>23</v>
      </c>
      <c r="K343" s="44" t="str">
        <f>CONCATENATE("selected(data('",N340,"'),'1') &amp;&amp; ", K335)</f>
        <v>selected(data('q16206_6b'),'1') &amp;&amp; selected(data('q16206_6a'),'1') &amp;&amp; selected(data('q16202_6'),'1') &amp;&amp; selected(data('q16201'),'1')</v>
      </c>
      <c r="L343" s="174"/>
      <c r="M343" s="174"/>
      <c r="N343" s="54"/>
      <c r="O343" s="312"/>
      <c r="P343" s="117"/>
      <c r="Q343" s="117"/>
      <c r="R343" s="117"/>
      <c r="S343" s="117"/>
      <c r="T343" s="117"/>
      <c r="W343" s="117"/>
      <c r="X343" s="117"/>
    </row>
    <row r="344" spans="1:25" s="45" customFormat="1" ht="75">
      <c r="A344" s="117"/>
      <c r="B344" s="175"/>
      <c r="C344" s="175"/>
      <c r="D344" s="117"/>
      <c r="I344" s="54"/>
      <c r="K344" s="54"/>
      <c r="L344" s="174" t="s">
        <v>18</v>
      </c>
      <c r="M344" s="19" t="s">
        <v>17</v>
      </c>
      <c r="N344" s="54" t="str">
        <f>CONCATENATE("q",$I$16, "_",$I$29,"c")</f>
        <v>q16204_6c</v>
      </c>
      <c r="O344" s="312" t="str">
        <f>CONCATENATE(SUBSTITUTE(N344, "q",""),, ". ", SUBSTITUTE($E$16, "]الحيوانات[",$E$29))</f>
        <v>16204_6c. هل الشخص الثالث الذي يرعى الحمير/البغال هو أحد أفراد الأسرة؟</v>
      </c>
      <c r="P344" s="117" t="str">
        <f>CONCATENATE(N344, ". ", SUBSTITUTE($B$16, "[animal]",$B$29))</f>
        <v>q16204_6c. Is the third person who takes care of the Donkeys/Mules a member of the household?</v>
      </c>
      <c r="Q344" s="117"/>
      <c r="R344" s="117"/>
      <c r="S344" s="31" t="str">
        <f>CONCATENATE($K343, " &amp;&amp; ", $S$6)</f>
        <v>selected(data('q16206_6b'),'1') &amp;&amp; selected(data('q16206_6a'),'1') &amp;&amp; selected(data('q16202_6'),'1') &amp;&amp; selected(data('q16201'),'1') &amp;&amp; data('valid_overall') == 1</v>
      </c>
      <c r="T344" s="117"/>
      <c r="W344" s="117"/>
      <c r="X344" s="117"/>
      <c r="Y344" s="45" t="b">
        <v>1</v>
      </c>
    </row>
    <row r="345" spans="1:25" s="45" customFormat="1">
      <c r="A345" s="117"/>
      <c r="B345" s="175"/>
      <c r="C345" s="175"/>
      <c r="D345" s="117"/>
      <c r="I345" s="54"/>
      <c r="J345" s="178" t="s">
        <v>24</v>
      </c>
      <c r="K345" s="54"/>
      <c r="L345" s="174"/>
      <c r="M345" s="19"/>
      <c r="N345" s="54"/>
      <c r="O345" s="312"/>
      <c r="P345" s="117"/>
      <c r="Q345" s="117"/>
      <c r="R345" s="117"/>
      <c r="S345" s="31"/>
      <c r="T345" s="117"/>
      <c r="W345" s="117"/>
      <c r="X345" s="117"/>
    </row>
    <row r="346" spans="1:25" s="45" customFormat="1">
      <c r="A346" s="117"/>
      <c r="B346" s="175"/>
      <c r="C346" s="175"/>
      <c r="D346" s="117"/>
      <c r="I346" s="54"/>
      <c r="J346" s="178" t="s">
        <v>23</v>
      </c>
      <c r="K346" s="44" t="str">
        <f>CONCATENATE("selected(data('",N344,"'),'1') &amp;&amp; ", K343)</f>
        <v>selected(data('q16204_6c'),'1') &amp;&amp; selected(data('q16206_6b'),'1') &amp;&amp; selected(data('q16206_6a'),'1') &amp;&amp; selected(data('q16202_6'),'1') &amp;&amp; selected(data('q16201'),'1')</v>
      </c>
      <c r="L346" s="174"/>
      <c r="M346" s="174"/>
      <c r="N346" s="54"/>
      <c r="O346" s="312"/>
      <c r="P346" s="117"/>
      <c r="Q346" s="117"/>
      <c r="R346" s="117"/>
      <c r="S346" s="117"/>
      <c r="T346" s="117"/>
      <c r="W346" s="117"/>
      <c r="X346" s="117"/>
    </row>
    <row r="347" spans="1:25" s="45" customFormat="1" ht="90">
      <c r="A347" s="117"/>
      <c r="B347" s="54"/>
      <c r="C347" s="54"/>
      <c r="D347" s="117"/>
      <c r="E347" s="54"/>
      <c r="F347" s="54"/>
      <c r="G347" s="191"/>
      <c r="I347" s="54"/>
      <c r="J347" s="197"/>
      <c r="K347" s="19"/>
      <c r="L347" s="19" t="s">
        <v>174</v>
      </c>
      <c r="M347" s="19" t="s">
        <v>206</v>
      </c>
      <c r="N347" s="54" t="str">
        <f>CONCATENATE("q",$I$17, "_",$I$29,"c")</f>
        <v>q16205_6c</v>
      </c>
      <c r="O347" s="312" t="str">
        <f>CONCATENATE(N347, ". ", SUBSTITUTE($E$16, "]الحيوانات[",$E$29))</f>
        <v>q16205_6c. هل الشخص الثالث الذي يرعى الحمير/البغال هو أحد أفراد الأسرة؟</v>
      </c>
      <c r="P347" s="117" t="str">
        <f>CONCATENATE(N347, ". ", SUBSTITUTE($B$17, "[animal]",$B$29))</f>
        <v>q16205_6c. Who is the person who takes care of the Donkeys/Mules? Third member</v>
      </c>
      <c r="Q347" s="117"/>
      <c r="R347" s="117"/>
      <c r="S347" s="31" t="str">
        <f>CONCATENATE($K346, " &amp;&amp; ",$S$6)</f>
        <v>selected(data('q16204_6c'),'1') &amp;&amp; selected(data('q16206_6b'),'1') &amp;&amp; selected(data('q16206_6a'),'1') &amp;&amp; selected(data('q16202_6'),'1') &amp;&amp; selected(data('q16201'),'1') &amp;&amp; data('valid_overall') == 1</v>
      </c>
      <c r="T347" s="117"/>
      <c r="Y347" s="45" t="b">
        <v>1</v>
      </c>
    </row>
    <row r="348" spans="1:25" s="404" customFormat="1">
      <c r="I348" s="18"/>
      <c r="L348" s="18"/>
      <c r="O348" s="70"/>
      <c r="P348" s="30"/>
      <c r="Q348" s="30"/>
      <c r="R348" s="30"/>
      <c r="S348" s="30"/>
      <c r="T348" s="30"/>
    </row>
    <row r="349" spans="1:25" s="45" customFormat="1">
      <c r="A349" s="117"/>
      <c r="B349" s="54"/>
      <c r="C349" s="54"/>
      <c r="D349" s="117"/>
      <c r="E349" s="54"/>
      <c r="F349" s="54"/>
      <c r="G349" s="191"/>
      <c r="I349" s="54"/>
      <c r="J349" s="88" t="s">
        <v>42</v>
      </c>
      <c r="K349" s="64"/>
      <c r="L349" s="19"/>
      <c r="M349" s="64"/>
      <c r="N349" s="64"/>
      <c r="O349" s="407"/>
      <c r="P349" s="31"/>
      <c r="Q349" s="117"/>
      <c r="R349" s="117"/>
      <c r="S349" s="117"/>
      <c r="T349" s="117"/>
    </row>
    <row r="350" spans="1:25" s="45" customFormat="1">
      <c r="A350" s="117"/>
      <c r="B350" s="54"/>
      <c r="C350" s="54"/>
      <c r="D350" s="117"/>
      <c r="E350" s="54"/>
      <c r="F350" s="54"/>
      <c r="G350" s="191"/>
      <c r="I350" s="54"/>
      <c r="J350" s="88" t="s">
        <v>23</v>
      </c>
      <c r="K350" s="64" t="str">
        <f>K312</f>
        <v>selected(data('q16202_6'),'1') &amp;&amp; selected(data('q16201'),'1')</v>
      </c>
      <c r="L350" s="19"/>
      <c r="M350" s="64"/>
      <c r="N350" s="64"/>
      <c r="O350" s="407"/>
      <c r="P350" s="31"/>
      <c r="Q350" s="117"/>
      <c r="R350" s="117"/>
      <c r="S350" s="117"/>
      <c r="T350" s="117"/>
    </row>
    <row r="351" spans="1:25" s="45" customFormat="1">
      <c r="A351" s="117"/>
      <c r="B351" s="54"/>
      <c r="C351" s="54"/>
      <c r="D351" s="117"/>
      <c r="E351" s="54"/>
      <c r="F351" s="54"/>
      <c r="G351" s="191"/>
      <c r="I351" s="54"/>
      <c r="J351" s="405" t="s">
        <v>20</v>
      </c>
      <c r="K351" s="64"/>
      <c r="L351" s="19"/>
      <c r="M351" s="64"/>
      <c r="N351" s="64"/>
      <c r="O351" s="407"/>
      <c r="P351" s="31"/>
      <c r="Q351" s="117"/>
      <c r="R351" s="117"/>
      <c r="S351" s="117"/>
      <c r="T351" s="117"/>
    </row>
    <row r="352" spans="1:25" s="45" customFormat="1">
      <c r="A352" s="117"/>
      <c r="B352" s="54"/>
      <c r="C352" s="54"/>
      <c r="D352" s="117"/>
      <c r="E352" s="54"/>
      <c r="F352" s="54"/>
      <c r="G352" s="191"/>
      <c r="I352" s="54"/>
      <c r="J352" s="66" t="s">
        <v>23</v>
      </c>
      <c r="K352" s="64" t="str">
        <f>K346</f>
        <v>selected(data('q16204_6c'),'1') &amp;&amp; selected(data('q16206_6b'),'1') &amp;&amp; selected(data('q16206_6a'),'1') &amp;&amp; selected(data('q16202_6'),'1') &amp;&amp; selected(data('q16201'),'1')</v>
      </c>
      <c r="L352" s="19"/>
      <c r="M352" s="64"/>
      <c r="N352" s="64"/>
      <c r="O352" s="407"/>
      <c r="P352" s="31"/>
      <c r="Q352" s="117"/>
      <c r="R352" s="117"/>
      <c r="S352" s="117"/>
      <c r="T352" s="117"/>
    </row>
    <row r="353" spans="1:25" s="45" customFormat="1" ht="255">
      <c r="A353" s="117"/>
      <c r="B353" s="175"/>
      <c r="C353" s="175"/>
      <c r="D353" s="117"/>
      <c r="I353" s="54"/>
      <c r="J353" s="176"/>
      <c r="K353" s="54"/>
      <c r="L353" s="174" t="s">
        <v>413</v>
      </c>
      <c r="M353" s="174" t="str">
        <f>CONCATENATE(M347,"_line_",N347)</f>
        <v>roster_line_q16205_6c</v>
      </c>
      <c r="N353" s="174" t="str">
        <f>CONCATENATE(N347,"_1")</f>
        <v>q16205_6c_1</v>
      </c>
      <c r="O353" s="312"/>
      <c r="P353" s="117"/>
      <c r="Q353" s="117"/>
      <c r="R353" s="117"/>
      <c r="S353" s="117" t="str">
        <f>S347</f>
        <v>selected(data('q16204_6c'),'1') &amp;&amp; selected(data('q16206_6b'),'1') &amp;&amp; selected(data('q16206_6a'),'1') &amp;&amp; selected(data('q16202_6'),'1') &amp;&amp; selected(data('q16201'),'1') &amp;&amp; data('valid_overall') == 1</v>
      </c>
      <c r="T353" s="117"/>
      <c r="V353" s="31" t="str">
        <f>CONCATENATE(" (((data('",N322,"') != data('",N338,"')) || selected(data('",N324,"'), '2')   || selected(data('",N314,"'), '2')  || selected(data('",N329,"'), '2')) &amp;&amp; ((data('",N338,"') != data('",N353,"'))  || selected(data('",N324,"'), '2') || selected(data('",N340,"'), '2')   || selected(data('",N329,"'), '2')  || selected(data('",N344,"'), '2'))   &amp;&amp; ((data('",N322,"') != data('",N353,"'))  || selected(data('",N324,"'), '2')|| selected(data('",N344,"'), '2')   || selected(data('",N314,"'), '2')  || selected(data('",N344,"'), '2'))  )  || selected(data('",N310,"'), '2') || selected(data('",$N$6,"'),'2') || data('valid_overall') == 0")</f>
        <v xml:space="preserve"> (((data('q16205_6a_1') != data('q16205_6b_1')) || selected(data('q16206_6a'), '2')   || selected(data('q16204_6a'), '2')  || selected(data('q16204_6b'), '2')) &amp;&amp; ((data('q16205_6b_1') != data('q16205_6c_1'))  || selected(data('q16206_6a'), '2') || selected(data('q16206_6b'), '2')   || selected(data('q16204_6b'), '2')  || selected(data('q16204_6c'), '2'))   &amp;&amp; ((data('q16205_6a_1') != data('q16205_6c_1'))  || selected(data('q16206_6a'), '2')|| selected(data('q16204_6c'), '2')   || selected(data('q16204_6a'), '2')  || selected(data('q16204_6c'), '2'))  )  || selected(data('q16202_6'), '2') || selected(data('q16201'),'2') || data('valid_overall') == 0</v>
      </c>
      <c r="W353" s="31" t="s">
        <v>1033</v>
      </c>
      <c r="X353" s="31" t="s">
        <v>555</v>
      </c>
      <c r="Y353" s="45" t="b">
        <v>1</v>
      </c>
    </row>
    <row r="354" spans="1:25" s="45" customFormat="1">
      <c r="A354" s="117"/>
      <c r="B354" s="54"/>
      <c r="C354" s="54"/>
      <c r="D354" s="117"/>
      <c r="E354" s="54"/>
      <c r="F354" s="54"/>
      <c r="G354" s="191"/>
      <c r="I354" s="54"/>
      <c r="J354" s="66" t="s">
        <v>24</v>
      </c>
      <c r="K354" s="64"/>
      <c r="L354" s="19"/>
      <c r="M354" s="64"/>
      <c r="N354" s="64"/>
      <c r="O354" s="407"/>
      <c r="P354" s="31"/>
      <c r="Q354" s="117"/>
      <c r="R354" s="117"/>
      <c r="S354" s="117"/>
      <c r="T354" s="117"/>
    </row>
    <row r="355" spans="1:25" s="45" customFormat="1" ht="60">
      <c r="A355" s="117"/>
      <c r="B355" s="117"/>
      <c r="C355" s="117"/>
      <c r="D355" s="117"/>
      <c r="E355" s="118"/>
      <c r="F355" s="118"/>
      <c r="G355" s="191"/>
      <c r="I355" s="54"/>
      <c r="J355" s="192"/>
      <c r="L355" s="54" t="s">
        <v>18</v>
      </c>
      <c r="M355" s="45" t="s">
        <v>17</v>
      </c>
      <c r="N355" s="45" t="str">
        <f>CONCATENATE("q",$I$19, "_",$I$29)</f>
        <v>q16208_6</v>
      </c>
      <c r="O355" s="312" t="str">
        <f>CONCATENATE(N355, ". ", SUBSTITUTE($E$19, "]الحيوانات[",$E$29))</f>
        <v>q16208_6. خلال الـ12 شهر الماضية، هل قمت ببيع أي من الحمير/البغال؟</v>
      </c>
      <c r="P355" s="117" t="str">
        <f>CONCATENATE(N355, ". ", SUBSTITUTE($B$19, "[animal]",$B$29))</f>
        <v>q16208_6. During the past 12 months have you sold any of the Donkeys/Mules?</v>
      </c>
      <c r="Q355" s="117"/>
      <c r="R355" s="117"/>
      <c r="S355" s="31" t="str">
        <f>CONCATENATE($K312, " &amp;&amp; ", $S$6)</f>
        <v>selected(data('q16202_6'),'1') &amp;&amp; selected(data('q16201'),'1') &amp;&amp; data('valid_overall') == 1</v>
      </c>
      <c r="T355" s="117"/>
      <c r="Y355" s="45" t="b">
        <v>1</v>
      </c>
    </row>
    <row r="356" spans="1:25" s="45" customFormat="1">
      <c r="A356" s="117"/>
      <c r="B356" s="117"/>
      <c r="C356" s="117"/>
      <c r="D356" s="117"/>
      <c r="E356" s="118"/>
      <c r="F356" s="118"/>
      <c r="G356" s="191"/>
      <c r="I356" s="54"/>
      <c r="J356" s="44" t="s">
        <v>21</v>
      </c>
      <c r="L356" s="54"/>
      <c r="O356" s="312"/>
      <c r="P356" s="117"/>
      <c r="Q356" s="117"/>
      <c r="R356" s="117"/>
      <c r="S356" s="31"/>
      <c r="T356" s="117"/>
    </row>
    <row r="357" spans="1:25" s="45" customFormat="1">
      <c r="A357" s="117"/>
      <c r="B357" s="117"/>
      <c r="C357" s="117"/>
      <c r="D357" s="117"/>
      <c r="E357" s="118"/>
      <c r="F357" s="118"/>
      <c r="G357" s="191"/>
      <c r="I357" s="54"/>
      <c r="J357" s="178" t="s">
        <v>24</v>
      </c>
      <c r="L357" s="54"/>
      <c r="O357" s="312"/>
      <c r="P357" s="117"/>
      <c r="Q357" s="117"/>
      <c r="R357" s="117"/>
      <c r="S357" s="31"/>
      <c r="T357" s="117"/>
    </row>
    <row r="358" spans="1:25" s="45" customFormat="1">
      <c r="B358" s="117"/>
      <c r="C358" s="117"/>
      <c r="D358" s="54"/>
      <c r="E358" s="117"/>
      <c r="F358" s="117"/>
      <c r="G358" s="54"/>
      <c r="H358" s="191"/>
      <c r="I358" s="54"/>
      <c r="J358" s="178" t="s">
        <v>23</v>
      </c>
      <c r="K358" s="45" t="str">
        <f>CONCATENATE("selected(data('",N355,"'),'1') &amp;&amp; ",K350)</f>
        <v>selected(data('q16208_6'),'1') &amp;&amp; selected(data('q16202_6'),'1') &amp;&amp; selected(data('q16201'),'1')</v>
      </c>
      <c r="L358" s="54"/>
      <c r="O358" s="312"/>
      <c r="P358" s="117"/>
      <c r="Q358" s="117"/>
      <c r="R358" s="117"/>
      <c r="S358" s="117"/>
      <c r="T358" s="117"/>
    </row>
    <row r="359" spans="1:25" s="45" customFormat="1" ht="60">
      <c r="B359" s="117"/>
      <c r="C359" s="117"/>
      <c r="D359" s="54"/>
      <c r="E359" s="117"/>
      <c r="F359" s="117"/>
      <c r="G359" s="54"/>
      <c r="H359" s="191"/>
      <c r="I359" s="54"/>
      <c r="J359" s="193"/>
      <c r="L359" s="54" t="s">
        <v>19</v>
      </c>
      <c r="N359" s="45" t="str">
        <f>CONCATENATE("q",$I$20, "_",$I$29)</f>
        <v>q16209_6</v>
      </c>
      <c r="O359" s="312" t="str">
        <f>CONCATENATE(N359, ". ", SUBSTITUTE($E$20,  "]الحيوانات[",$E$29))</f>
        <v>q16209_6. كم عدد الحمير/البغال  الذى تم بيعه؟</v>
      </c>
      <c r="P359" s="190" t="str">
        <f>CONCATENATE(N359, ". ", SUBSTITUTE($B$20, "[animal]",$B$29))</f>
        <v>q16209_6. How many Donkeys/Mules have been sold?</v>
      </c>
      <c r="Q359" s="31" t="str">
        <f>$F$20</f>
        <v xml:space="preserve"> في حالة لا أعرف سجل  98</v>
      </c>
      <c r="R359" s="31" t="str">
        <f>$C$20</f>
        <v>*If don't know, write 98</v>
      </c>
      <c r="S359" s="31" t="str">
        <f>CONCATENATE($K358," &amp;&amp; ", $S$6)</f>
        <v>selected(data('q16208_6'),'1') &amp;&amp; selected(data('q16202_6'),'1') &amp;&amp; selected(data('q16201'),'1') &amp;&amp; data('valid_overall') == 1</v>
      </c>
      <c r="T359" s="31"/>
      <c r="Y359" s="45" t="b">
        <v>1</v>
      </c>
    </row>
    <row r="360" spans="1:25" s="45" customFormat="1" ht="60">
      <c r="B360" s="117"/>
      <c r="C360" s="117"/>
      <c r="D360" s="54"/>
      <c r="E360" s="117"/>
      <c r="F360" s="117"/>
      <c r="G360" s="54"/>
      <c r="H360" s="191"/>
      <c r="I360" s="54"/>
      <c r="J360" s="193"/>
      <c r="L360" s="54" t="s">
        <v>19</v>
      </c>
      <c r="N360" s="45" t="str">
        <f>CONCATENATE("q",$I$21, "_",$I$29)</f>
        <v>q16210_6</v>
      </c>
      <c r="O360" s="312" t="str">
        <f>CONCATENATE(N360, ". ", SUBSTITUTE($E$21,  "]الحيوانات[",$E$29))</f>
        <v xml:space="preserve">q16210_6. ما  قيمة البيع الإجمالية من الحمير/البغال  ؟ (بالجنيه)
</v>
      </c>
      <c r="P360" s="190" t="str">
        <f>CONCATENATE(N360, ". ", SUBSTITUTE($B$21, "[animal]",$B$29))</f>
        <v>q16210_6. What was the total value of the sales of Donkeys/Mules ? (in pounds)</v>
      </c>
      <c r="Q360" s="31" t="str">
        <f>$F$21</f>
        <v>في حالة لا أعرف سجل 999998</v>
      </c>
      <c r="R360" s="31" t="str">
        <f>$C$21</f>
        <v xml:space="preserve"> *If don't know, write 999998</v>
      </c>
      <c r="S360" s="31" t="str">
        <f>CONCATENATE($K358," &amp;&amp; ", $S$6)</f>
        <v>selected(data('q16208_6'),'1') &amp;&amp; selected(data('q16202_6'),'1') &amp;&amp; selected(data('q16201'),'1') &amp;&amp; data('valid_overall') == 1</v>
      </c>
      <c r="T360" s="31"/>
      <c r="Y360" s="45" t="b">
        <v>1</v>
      </c>
    </row>
    <row r="361" spans="1:25" s="45" customFormat="1">
      <c r="B361" s="117"/>
      <c r="C361" s="117"/>
      <c r="E361" s="117"/>
      <c r="F361" s="117"/>
      <c r="H361" s="191"/>
      <c r="I361" s="54"/>
      <c r="J361" s="178" t="s">
        <v>42</v>
      </c>
      <c r="L361" s="54"/>
      <c r="O361" s="312"/>
      <c r="P361" s="117"/>
      <c r="Q361" s="117"/>
      <c r="R361" s="117"/>
      <c r="S361" s="117"/>
      <c r="T361" s="117"/>
    </row>
    <row r="362" spans="1:25" s="249" customFormat="1">
      <c r="B362" s="250"/>
      <c r="C362" s="250"/>
      <c r="E362" s="250"/>
      <c r="F362" s="250"/>
      <c r="H362" s="251" t="s">
        <v>792</v>
      </c>
      <c r="I362" s="253"/>
      <c r="J362" s="252"/>
      <c r="L362" s="253"/>
      <c r="O362" s="330"/>
      <c r="P362" s="250"/>
      <c r="Q362" s="250"/>
      <c r="R362" s="250"/>
      <c r="S362" s="250"/>
      <c r="T362" s="250"/>
      <c r="W362" s="45"/>
    </row>
    <row r="363" spans="1:25" s="31" customFormat="1">
      <c r="I363" s="19"/>
      <c r="J363" s="88" t="s">
        <v>23</v>
      </c>
      <c r="K363" s="64" t="str">
        <f>CONCATENATE("selected(data('",$N$6,"'),'1')")</f>
        <v>selected(data('q16201'),'1')</v>
      </c>
      <c r="O363" s="407"/>
    </row>
    <row r="364" spans="1:25" s="45" customFormat="1" ht="60">
      <c r="B364" s="117"/>
      <c r="C364" s="117"/>
      <c r="D364" s="117"/>
      <c r="E364" s="117"/>
      <c r="F364" s="117"/>
      <c r="G364" s="118"/>
      <c r="I364" s="54"/>
      <c r="L364" s="54" t="s">
        <v>18</v>
      </c>
      <c r="M364" s="45" t="s">
        <v>17</v>
      </c>
      <c r="N364" s="45" t="str">
        <f>CONCATENATE("q",$I$8, "_",$I$30)</f>
        <v>q16202_7</v>
      </c>
      <c r="O364" s="312" t="str">
        <f>CONCATENATE(SUBSTITUTE(N364, "q",""), ". ", SUBSTITUTE($E$8, "]الحيوانات[",$E$30))</f>
        <v>16202_7. هل تمتلك الأسرة أو أي من أفرادها أي الاحصنة؟</v>
      </c>
      <c r="P364" s="190" t="str">
        <f>CONCATENATE(N364, ". ", SUBSTITUTE($B$8, "[animal]",$B$30))</f>
        <v>q16202_7. Does any member of your household currently have any  Horses?</v>
      </c>
      <c r="Q364" s="117"/>
      <c r="R364" s="117"/>
      <c r="S364" s="117" t="str">
        <f>CONCATENATE($K363, " &amp;&amp; ", $S$6)</f>
        <v>selected(data('q16201'),'1') &amp;&amp; data('valid_overall') == 1</v>
      </c>
      <c r="T364" s="117"/>
      <c r="W364" s="117"/>
      <c r="X364" s="117"/>
      <c r="Y364" s="45" t="b">
        <v>1</v>
      </c>
    </row>
    <row r="365" spans="1:25" s="45" customFormat="1">
      <c r="B365" s="117"/>
      <c r="C365" s="117"/>
      <c r="D365" s="117"/>
      <c r="E365" s="117"/>
      <c r="F365" s="117"/>
      <c r="G365" s="118"/>
      <c r="I365" s="54"/>
      <c r="J365" s="178" t="s">
        <v>24</v>
      </c>
      <c r="L365" s="54"/>
      <c r="O365" s="312"/>
      <c r="P365" s="190"/>
      <c r="Q365" s="117"/>
      <c r="R365" s="117"/>
      <c r="S365" s="117"/>
      <c r="T365" s="117"/>
      <c r="W365" s="117"/>
      <c r="X365" s="117"/>
    </row>
    <row r="366" spans="1:25" s="45" customFormat="1">
      <c r="I366" s="15"/>
      <c r="J366" s="178" t="s">
        <v>23</v>
      </c>
      <c r="K366" s="45" t="str">
        <f>CONCATENATE("selected(data('",N364,"'),'1') &amp;&amp; ", K363)</f>
        <v>selected(data('q16202_7'),'1') &amp;&amp; selected(data('q16201'),'1')</v>
      </c>
      <c r="L366" s="54"/>
      <c r="O366" s="312"/>
      <c r="P366" s="117"/>
      <c r="Q366" s="117"/>
      <c r="R366" s="117"/>
      <c r="S366" s="117"/>
      <c r="T366" s="117"/>
    </row>
    <row r="367" spans="1:25" s="45" customFormat="1" ht="60">
      <c r="B367" s="117"/>
      <c r="C367" s="117"/>
      <c r="D367" s="54"/>
      <c r="E367" s="117"/>
      <c r="F367" s="117"/>
      <c r="G367" s="54"/>
      <c r="H367" s="191"/>
      <c r="I367" s="54"/>
      <c r="J367" s="178"/>
      <c r="L367" s="54" t="s">
        <v>19</v>
      </c>
      <c r="N367" s="45" t="str">
        <f>CONCATENATE("q",$I$9, "_",$I$30)</f>
        <v>q16203_7</v>
      </c>
      <c r="O367" s="312" t="str">
        <f>CONCATENATE(SUBSTITUTE(N367, "q",""), ". ", SUBSTITUTE($E$9, "]الحيوانات[",$E$30))</f>
        <v>16203_7. كم عدد الاحصنة التي تملكها الأسرة خلص أو مشاركة؟</v>
      </c>
      <c r="P367" s="117" t="str">
        <f>CONCATENATE(N367, ". ", SUBSTITUTE($B$9, "[animal]",$B$30))</f>
        <v>q16203_7. How many   Horses does your household currently own entirely or with sharing?</v>
      </c>
      <c r="Q367" s="117"/>
      <c r="R367" s="117"/>
      <c r="S367" s="31" t="str">
        <f>CONCATENATE($K366, " &amp;&amp; ", $S$6)</f>
        <v>selected(data('q16202_7'),'1') &amp;&amp; selected(data('q16201'),'1') &amp;&amp; data('valid_overall') == 1</v>
      </c>
      <c r="T367" s="117"/>
      <c r="Y367" s="45" t="b">
        <v>1</v>
      </c>
    </row>
    <row r="368" spans="1:25" s="45" customFormat="1" ht="60">
      <c r="B368" s="117"/>
      <c r="C368" s="117"/>
      <c r="D368" s="117"/>
      <c r="E368" s="117"/>
      <c r="F368" s="117"/>
      <c r="G368" s="54"/>
      <c r="H368" s="191"/>
      <c r="I368" s="54"/>
      <c r="J368" s="159"/>
      <c r="K368" s="19"/>
      <c r="L368" s="54" t="s">
        <v>18</v>
      </c>
      <c r="M368" s="19" t="s">
        <v>17</v>
      </c>
      <c r="N368" s="54" t="str">
        <f>CONCATENATE("q",$I$10, "_",$I$30,"a")</f>
        <v>q16204_7a</v>
      </c>
      <c r="O368" s="312" t="str">
        <f>CONCATENATE(SUBSTITUTE(N368, "q",""), ". ", SUBSTITUTE($E$10, "]الحيوانات[",$E$30))</f>
        <v>16204_7a. هل الشخص الرئيسي الذي يرعى الاحصنة هو أحد أفراد الأسرة؟</v>
      </c>
      <c r="P368" s="117" t="str">
        <f>CONCATENATE(N368, ". ", SUBSTITUTE($B$10, "[animal]",$B$30))</f>
        <v>q16204_7a. Is the primary person who takes care of the  Horses a member of the household?</v>
      </c>
      <c r="Q368" s="117"/>
      <c r="R368" s="117"/>
      <c r="S368" s="31" t="str">
        <f>CONCATENATE($K366, " &amp;&amp; ", $S$6)</f>
        <v>selected(data('q16202_7'),'1') &amp;&amp; selected(data('q16201'),'1') &amp;&amp; data('valid_overall') == 1</v>
      </c>
      <c r="T368" s="117"/>
      <c r="Y368" s="45" t="b">
        <v>1</v>
      </c>
    </row>
    <row r="369" spans="1:25" s="45" customFormat="1">
      <c r="B369" s="117"/>
      <c r="C369" s="117"/>
      <c r="D369" s="117"/>
      <c r="E369" s="117"/>
      <c r="F369" s="117"/>
      <c r="G369" s="54"/>
      <c r="H369" s="191"/>
      <c r="I369" s="54"/>
      <c r="J369" s="88" t="s">
        <v>24</v>
      </c>
      <c r="K369" s="19"/>
      <c r="L369" s="54"/>
      <c r="M369" s="19"/>
      <c r="N369" s="54"/>
      <c r="O369" s="312"/>
      <c r="P369" s="117"/>
      <c r="Q369" s="117"/>
      <c r="R369" s="117"/>
      <c r="S369" s="31"/>
      <c r="T369" s="117"/>
    </row>
    <row r="370" spans="1:25" s="45" customFormat="1">
      <c r="B370" s="117"/>
      <c r="C370" s="117"/>
      <c r="D370" s="117"/>
      <c r="E370" s="117"/>
      <c r="F370" s="117"/>
      <c r="G370" s="54"/>
      <c r="H370" s="191"/>
      <c r="I370" s="54"/>
      <c r="J370" s="178" t="s">
        <v>23</v>
      </c>
      <c r="K370" s="44" t="str">
        <f>CONCATENATE("selected(data('",N368,"'),'1') &amp;&amp; ", K366)</f>
        <v>selected(data('q16204_7a'),'1') &amp;&amp; selected(data('q16202_7'),'1') &amp;&amp; selected(data('q16201'),'1')</v>
      </c>
      <c r="L370" s="54"/>
      <c r="M370" s="19"/>
      <c r="N370" s="54"/>
      <c r="O370" s="312"/>
      <c r="P370" s="117"/>
      <c r="Q370" s="117"/>
      <c r="R370" s="117"/>
      <c r="S370" s="117"/>
      <c r="T370" s="117"/>
    </row>
    <row r="371" spans="1:25" s="45" customFormat="1" ht="60">
      <c r="A371" s="117"/>
      <c r="B371" s="54"/>
      <c r="C371" s="54"/>
      <c r="D371" s="117"/>
      <c r="E371" s="54"/>
      <c r="F371" s="54"/>
      <c r="G371" s="191"/>
      <c r="I371" s="54"/>
      <c r="J371" s="159"/>
      <c r="K371" s="19"/>
      <c r="L371" s="19" t="s">
        <v>174</v>
      </c>
      <c r="M371" s="19" t="s">
        <v>206</v>
      </c>
      <c r="N371" s="54" t="str">
        <f>CONCATENATE("q",$I$11, "_",$I$30,"a")</f>
        <v>q16205_7a</v>
      </c>
      <c r="O371" s="312" t="str">
        <f>CONCATENATE(SUBSTITUTE(N371, "q",""),, ". ", SUBSTITUTE($E$11, "]الحيوانات[",$E$30))</f>
        <v>16205_7a. من الشخص المسؤول عن رعاية الاحصنة في الأسرة؟ أول فرد</v>
      </c>
      <c r="P371" s="117" t="str">
        <f>CONCATENATE(N371, ". ", SUBSTITUTE($B$11, "[animal]",$B$30))</f>
        <v>q16205_7a. Who is the primary person who takes care of the  Horses? First member</v>
      </c>
      <c r="Q371" s="117"/>
      <c r="R371" s="117"/>
      <c r="S371" s="31" t="str">
        <f>CONCATENATE($K370, " &amp;&amp; ", $S$6)</f>
        <v>selected(data('q16204_7a'),'1') &amp;&amp; selected(data('q16202_7'),'1') &amp;&amp; selected(data('q16201'),'1') &amp;&amp; data('valid_overall') == 1</v>
      </c>
      <c r="T371" s="117"/>
      <c r="Y371" s="45" t="b">
        <v>1</v>
      </c>
    </row>
    <row r="372" spans="1:25" s="45" customFormat="1">
      <c r="A372" s="117"/>
      <c r="B372" s="54"/>
      <c r="C372" s="54"/>
      <c r="D372" s="117"/>
      <c r="E372" s="54"/>
      <c r="F372" s="54"/>
      <c r="G372" s="191"/>
      <c r="I372" s="54"/>
      <c r="J372" s="178" t="s">
        <v>24</v>
      </c>
      <c r="K372" s="19"/>
      <c r="L372" s="19"/>
      <c r="M372" s="19"/>
      <c r="N372" s="54"/>
      <c r="O372" s="312"/>
      <c r="P372" s="117"/>
      <c r="Q372" s="117"/>
      <c r="R372" s="117"/>
      <c r="S372" s="31"/>
      <c r="T372" s="117"/>
    </row>
    <row r="373" spans="1:25" s="45" customFormat="1">
      <c r="A373" s="117"/>
      <c r="B373" s="175"/>
      <c r="C373" s="175"/>
      <c r="D373" s="117"/>
      <c r="I373" s="54"/>
      <c r="J373" s="178" t="s">
        <v>23</v>
      </c>
      <c r="K373" s="54" t="str">
        <f>K366</f>
        <v>selected(data('q16202_7'),'1') &amp;&amp; selected(data('q16201'),'1')</v>
      </c>
      <c r="L373" s="174"/>
      <c r="M373" s="174"/>
      <c r="N373" s="174"/>
      <c r="O373" s="312"/>
      <c r="P373" s="117"/>
      <c r="Q373" s="117"/>
      <c r="R373" s="117"/>
      <c r="S373" s="117"/>
      <c r="T373" s="117"/>
      <c r="W373" s="117"/>
      <c r="X373" s="117"/>
    </row>
    <row r="374" spans="1:25" s="45" customFormat="1">
      <c r="A374" s="117"/>
      <c r="B374" s="175"/>
      <c r="C374" s="175"/>
      <c r="D374" s="117"/>
      <c r="I374" s="54"/>
      <c r="J374" s="44" t="s">
        <v>20</v>
      </c>
      <c r="K374" s="54"/>
      <c r="L374" s="174"/>
      <c r="M374" s="174"/>
      <c r="N374" s="174"/>
      <c r="O374" s="312"/>
      <c r="P374" s="117"/>
      <c r="Q374" s="117"/>
      <c r="R374" s="117"/>
      <c r="S374" s="117"/>
      <c r="T374" s="117"/>
      <c r="W374" s="117"/>
      <c r="X374" s="117"/>
    </row>
    <row r="375" spans="1:25" s="45" customFormat="1">
      <c r="A375" s="117"/>
      <c r="B375" s="175"/>
      <c r="C375" s="175"/>
      <c r="D375" s="117"/>
      <c r="I375" s="54"/>
      <c r="J375" s="176" t="s">
        <v>23</v>
      </c>
      <c r="K375" s="54" t="str">
        <f>K370</f>
        <v>selected(data('q16204_7a'),'1') &amp;&amp; selected(data('q16202_7'),'1') &amp;&amp; selected(data('q16201'),'1')</v>
      </c>
      <c r="L375" s="174"/>
      <c r="M375" s="174"/>
      <c r="N375" s="174"/>
      <c r="O375" s="312"/>
      <c r="P375" s="117"/>
      <c r="Q375" s="117"/>
      <c r="R375" s="117"/>
      <c r="S375" s="117"/>
      <c r="T375" s="117"/>
      <c r="W375" s="117"/>
      <c r="X375" s="117"/>
    </row>
    <row r="376" spans="1:25" s="45" customFormat="1">
      <c r="A376" s="117"/>
      <c r="B376" s="175"/>
      <c r="C376" s="175"/>
      <c r="D376" s="117"/>
      <c r="I376" s="54"/>
      <c r="K376" s="54"/>
      <c r="L376" s="174" t="s">
        <v>413</v>
      </c>
      <c r="M376" s="174" t="str">
        <f>CONCATENATE(M371,"_line_",N371)</f>
        <v>roster_line_q16205_7a</v>
      </c>
      <c r="N376" s="174" t="str">
        <f>CONCATENATE(N371,"_1")</f>
        <v>q16205_7a_1</v>
      </c>
      <c r="O376" s="312"/>
      <c r="P376" s="117"/>
      <c r="Q376" s="117"/>
      <c r="R376" s="117"/>
      <c r="S376" s="117" t="str">
        <f>S371</f>
        <v>selected(data('q16204_7a'),'1') &amp;&amp; selected(data('q16202_7'),'1') &amp;&amp; selected(data('q16201'),'1') &amp;&amp; data('valid_overall') == 1</v>
      </c>
      <c r="T376" s="117"/>
      <c r="W376" s="117"/>
      <c r="X376" s="117"/>
      <c r="Y376" s="45" t="b">
        <v>1</v>
      </c>
    </row>
    <row r="377" spans="1:25" s="45" customFormat="1">
      <c r="A377" s="117"/>
      <c r="B377" s="175"/>
      <c r="C377" s="175"/>
      <c r="D377" s="117"/>
      <c r="I377" s="54"/>
      <c r="J377" s="176" t="s">
        <v>24</v>
      </c>
      <c r="K377" s="54"/>
      <c r="L377" s="174"/>
      <c r="M377" s="174"/>
      <c r="N377" s="174"/>
      <c r="O377" s="312"/>
      <c r="P377" s="117"/>
      <c r="Q377" s="117"/>
      <c r="R377" s="117"/>
      <c r="S377" s="117"/>
      <c r="T377" s="117"/>
      <c r="W377" s="117"/>
      <c r="X377" s="117"/>
    </row>
    <row r="378" spans="1:25" s="45" customFormat="1" ht="45">
      <c r="A378" s="117"/>
      <c r="B378" s="175"/>
      <c r="C378" s="175"/>
      <c r="D378" s="117"/>
      <c r="I378" s="54"/>
      <c r="K378" s="54"/>
      <c r="L378" s="174" t="s">
        <v>18</v>
      </c>
      <c r="M378" s="19" t="s">
        <v>17</v>
      </c>
      <c r="N378" s="54" t="str">
        <f>CONCATENATE("q",$I$12, "_",$I$30,"a")</f>
        <v>q16206_7a</v>
      </c>
      <c r="O378" s="312" t="str">
        <f>CONCATENATE(SUBSTITUTE(N378, "q",""),, ". ", SUBSTITUTE($E$12, "]الحيوانات[",$E$30))</f>
        <v>16206_7a. هل هناك شخص آخر يرعى الاحصنة؟</v>
      </c>
      <c r="P378" s="117" t="str">
        <f>CONCATENATE(N378, ". ", SUBSTITUTE($B$12, "[animal]",$B$30))</f>
        <v>q16206_7a. Is there another person who takes care of the  Horses?</v>
      </c>
      <c r="Q378" s="117"/>
      <c r="R378" s="117"/>
      <c r="S378" s="31" t="str">
        <f>CONCATENATE($K373, " &amp;&amp; ", $S$6)</f>
        <v>selected(data('q16202_7'),'1') &amp;&amp; selected(data('q16201'),'1') &amp;&amp; data('valid_overall') == 1</v>
      </c>
      <c r="T378" s="117"/>
      <c r="W378" s="117"/>
      <c r="X378" s="117"/>
      <c r="Y378" s="45" t="b">
        <v>1</v>
      </c>
    </row>
    <row r="379" spans="1:25" s="45" customFormat="1">
      <c r="A379" s="117"/>
      <c r="B379" s="175"/>
      <c r="C379" s="175"/>
      <c r="D379" s="117"/>
      <c r="I379" s="54"/>
      <c r="J379" s="45" t="s">
        <v>21</v>
      </c>
      <c r="K379" s="54"/>
      <c r="L379" s="174"/>
      <c r="M379" s="19"/>
      <c r="N379" s="54"/>
      <c r="O379" s="312"/>
      <c r="P379" s="117"/>
      <c r="Q379" s="117"/>
      <c r="R379" s="117"/>
      <c r="S379" s="31"/>
      <c r="T379" s="117"/>
      <c r="W379" s="117"/>
      <c r="X379" s="117"/>
    </row>
    <row r="380" spans="1:25" s="45" customFormat="1">
      <c r="A380" s="117"/>
      <c r="B380" s="175"/>
      <c r="C380" s="175"/>
      <c r="D380" s="117"/>
      <c r="I380" s="54"/>
      <c r="J380" s="178" t="s">
        <v>24</v>
      </c>
      <c r="K380" s="54"/>
      <c r="L380" s="174"/>
      <c r="M380" s="19"/>
      <c r="N380" s="54"/>
      <c r="O380" s="312"/>
      <c r="P380" s="117"/>
      <c r="Q380" s="117"/>
      <c r="R380" s="117"/>
      <c r="S380" s="31"/>
      <c r="T380" s="117"/>
      <c r="W380" s="117"/>
      <c r="X380" s="117"/>
    </row>
    <row r="381" spans="1:25" s="45" customFormat="1">
      <c r="A381" s="117"/>
      <c r="B381" s="175"/>
      <c r="C381" s="175"/>
      <c r="D381" s="117"/>
      <c r="I381" s="54"/>
      <c r="J381" s="178" t="s">
        <v>23</v>
      </c>
      <c r="K381" s="44" t="str">
        <f>CONCATENATE("selected(data('",N378,"'),'1') &amp;&amp; ",K373)</f>
        <v>selected(data('q16206_7a'),'1') &amp;&amp; selected(data('q16202_7'),'1') &amp;&amp; selected(data('q16201'),'1')</v>
      </c>
      <c r="L381" s="174"/>
      <c r="M381" s="174"/>
      <c r="N381" s="54"/>
      <c r="O381" s="312"/>
      <c r="P381" s="117"/>
      <c r="Q381" s="117"/>
      <c r="R381" s="117"/>
      <c r="S381" s="117"/>
      <c r="T381" s="117"/>
      <c r="W381" s="117"/>
      <c r="X381" s="117"/>
    </row>
    <row r="382" spans="1:25" s="45" customFormat="1">
      <c r="A382" s="117"/>
      <c r="B382" s="175"/>
      <c r="C382" s="175"/>
      <c r="D382" s="117"/>
      <c r="I382" s="54"/>
      <c r="J382" s="44" t="s">
        <v>20</v>
      </c>
      <c r="K382" s="44"/>
      <c r="L382" s="174"/>
      <c r="M382" s="174"/>
      <c r="N382" s="54"/>
      <c r="O382" s="312"/>
      <c r="P382" s="117"/>
      <c r="Q382" s="117"/>
      <c r="R382" s="117"/>
      <c r="S382" s="117"/>
      <c r="T382" s="117"/>
      <c r="W382" s="117"/>
      <c r="X382" s="117"/>
    </row>
    <row r="383" spans="1:25" s="45" customFormat="1" ht="60">
      <c r="A383" s="117"/>
      <c r="B383" s="175"/>
      <c r="C383" s="175"/>
      <c r="D383" s="117"/>
      <c r="I383" s="54"/>
      <c r="K383" s="54"/>
      <c r="L383" s="174" t="s">
        <v>18</v>
      </c>
      <c r="M383" s="19" t="s">
        <v>17</v>
      </c>
      <c r="N383" s="54" t="str">
        <f>CONCATENATE("q",$I$13, "_",$I$30,"b")</f>
        <v>q16204_7b</v>
      </c>
      <c r="O383" s="312" t="str">
        <f>CONCATENATE(SUBSTITUTE(N383, "q",""),, ". ", SUBSTITUTE($E$13, "]الحيوانات[",$E$30))</f>
        <v>16204_7b. هل الشخص الثاني الذي يرعى الاحصنة هو أحد أفراد الأسرة؟</v>
      </c>
      <c r="P383" s="117" t="str">
        <f>CONCATENATE(N383, ". ", SUBSTITUTE($B$13, "[animal]",$B$30))</f>
        <v>q16204_7b. Is the second person who takes care of the  Horses a member of the household?</v>
      </c>
      <c r="Q383" s="117"/>
      <c r="R383" s="117"/>
      <c r="S383" s="31" t="str">
        <f>CONCATENATE($K381, " &amp;&amp; ", $S$6)</f>
        <v>selected(data('q16206_7a'),'1') &amp;&amp; selected(data('q16202_7'),'1') &amp;&amp; selected(data('q16201'),'1') &amp;&amp; data('valid_overall') == 1</v>
      </c>
      <c r="T383" s="117"/>
      <c r="W383" s="117"/>
      <c r="X383" s="117"/>
      <c r="Y383" s="45" t="b">
        <v>1</v>
      </c>
    </row>
    <row r="384" spans="1:25" s="45" customFormat="1">
      <c r="A384" s="117"/>
      <c r="B384" s="175"/>
      <c r="C384" s="175"/>
      <c r="D384" s="117"/>
      <c r="I384" s="54"/>
      <c r="J384" s="45" t="s">
        <v>21</v>
      </c>
      <c r="K384" s="54"/>
      <c r="L384" s="174"/>
      <c r="M384" s="19"/>
      <c r="N384" s="54"/>
      <c r="O384" s="312"/>
      <c r="P384" s="117"/>
      <c r="Q384" s="117"/>
      <c r="R384" s="117"/>
      <c r="S384" s="31"/>
      <c r="T384" s="117"/>
      <c r="W384" s="117"/>
      <c r="X384" s="117"/>
    </row>
    <row r="385" spans="1:25" s="45" customFormat="1">
      <c r="A385" s="117"/>
      <c r="B385" s="175"/>
      <c r="C385" s="175"/>
      <c r="D385" s="117"/>
      <c r="I385" s="54"/>
      <c r="J385" s="178" t="s">
        <v>24</v>
      </c>
      <c r="K385" s="54"/>
      <c r="L385" s="174"/>
      <c r="M385" s="19"/>
      <c r="N385" s="54"/>
      <c r="O385" s="312"/>
      <c r="P385" s="117"/>
      <c r="Q385" s="117"/>
      <c r="R385" s="117"/>
      <c r="S385" s="31"/>
      <c r="T385" s="117"/>
      <c r="W385" s="117"/>
      <c r="X385" s="117"/>
    </row>
    <row r="386" spans="1:25" s="45" customFormat="1">
      <c r="A386" s="117"/>
      <c r="B386" s="175"/>
      <c r="C386" s="175"/>
      <c r="D386" s="117"/>
      <c r="I386" s="54"/>
      <c r="J386" s="178" t="s">
        <v>23</v>
      </c>
      <c r="K386" s="44" t="str">
        <f>CONCATENATE("selected(data('",N383,"'),'1') &amp;&amp;", K381)</f>
        <v>selected(data('q16204_7b'),'1') &amp;&amp;selected(data('q16206_7a'),'1') &amp;&amp; selected(data('q16202_7'),'1') &amp;&amp; selected(data('q16201'),'1')</v>
      </c>
      <c r="L386" s="174"/>
      <c r="M386" s="174"/>
      <c r="N386" s="54"/>
      <c r="O386" s="312"/>
      <c r="P386" s="117"/>
      <c r="Q386" s="117"/>
      <c r="R386" s="117"/>
      <c r="S386" s="117"/>
      <c r="T386" s="117"/>
      <c r="W386" s="117"/>
      <c r="X386" s="117"/>
    </row>
    <row r="387" spans="1:25" s="45" customFormat="1" ht="75">
      <c r="A387" s="117"/>
      <c r="B387" s="54"/>
      <c r="C387" s="54"/>
      <c r="D387" s="117"/>
      <c r="E387" s="54"/>
      <c r="F387" s="54"/>
      <c r="G387" s="191"/>
      <c r="I387" s="54"/>
      <c r="J387" s="159"/>
      <c r="K387" s="19"/>
      <c r="L387" s="19" t="s">
        <v>174</v>
      </c>
      <c r="M387" s="19" t="s">
        <v>206</v>
      </c>
      <c r="N387" s="54" t="str">
        <f>CONCATENATE("q",$I$14, "_",$I$30,"b")</f>
        <v>q16205_7b</v>
      </c>
      <c r="O387" s="312" t="str">
        <f>CONCATENATE(SUBSTITUTE(N387, "q",""), ". ", SUBSTITUTE($E$14, "]الحيوانات[",$E$30))</f>
        <v xml:space="preserve">16205_7b. من الشخص المسؤول عن رعاية الاحصنة في الأسرة؟ الفرد الثاني </v>
      </c>
      <c r="P387" s="117" t="str">
        <f>CONCATENATE(N387, ". ", SUBSTITUTE($B$14, "[animal]",$B$30))</f>
        <v>q16205_7b. Who is the person who takes care of the  Horses? Second member</v>
      </c>
      <c r="Q387" s="117"/>
      <c r="R387" s="117"/>
      <c r="S387" s="31" t="str">
        <f>CONCATENATE($K386, " &amp;&amp; ", $S$6)</f>
        <v>selected(data('q16204_7b'),'1') &amp;&amp;selected(data('q16206_7a'),'1') &amp;&amp; selected(data('q16202_7'),'1') &amp;&amp; selected(data('q16201'),'1') &amp;&amp; data('valid_overall') == 1</v>
      </c>
      <c r="T387" s="117"/>
      <c r="Y387" s="45" t="b">
        <v>1</v>
      </c>
    </row>
    <row r="388" spans="1:25" s="45" customFormat="1">
      <c r="A388" s="117"/>
      <c r="B388" s="54"/>
      <c r="C388" s="54"/>
      <c r="D388" s="117"/>
      <c r="E388" s="54"/>
      <c r="F388" s="54"/>
      <c r="G388" s="191"/>
      <c r="I388" s="54"/>
      <c r="J388" s="88" t="s">
        <v>24</v>
      </c>
      <c r="K388" s="19"/>
      <c r="L388" s="19"/>
      <c r="M388" s="19"/>
      <c r="N388" s="54"/>
      <c r="O388" s="312"/>
      <c r="P388" s="117"/>
      <c r="Q388" s="117"/>
      <c r="R388" s="117"/>
      <c r="S388" s="31"/>
      <c r="T388" s="117"/>
      <c r="V388" s="31"/>
      <c r="W388" s="31"/>
      <c r="X388" s="31"/>
    </row>
    <row r="389" spans="1:25" s="45" customFormat="1">
      <c r="A389" s="117"/>
      <c r="B389" s="175"/>
      <c r="C389" s="175"/>
      <c r="D389" s="117"/>
      <c r="I389" s="54"/>
      <c r="J389" s="178" t="s">
        <v>23</v>
      </c>
      <c r="K389" s="54" t="str">
        <f>K381</f>
        <v>selected(data('q16206_7a'),'1') &amp;&amp; selected(data('q16202_7'),'1') &amp;&amp; selected(data('q16201'),'1')</v>
      </c>
      <c r="L389" s="174"/>
      <c r="M389" s="174"/>
      <c r="N389" s="174"/>
      <c r="O389" s="312"/>
      <c r="P389" s="117"/>
      <c r="Q389" s="117"/>
      <c r="R389" s="117"/>
      <c r="S389" s="117"/>
      <c r="T389" s="117"/>
      <c r="W389" s="117"/>
      <c r="X389" s="117"/>
    </row>
    <row r="390" spans="1:25" s="45" customFormat="1">
      <c r="A390" s="117"/>
      <c r="B390" s="175"/>
      <c r="C390" s="175"/>
      <c r="D390" s="117"/>
      <c r="I390" s="54"/>
      <c r="J390" s="44" t="s">
        <v>20</v>
      </c>
      <c r="K390" s="54"/>
      <c r="L390" s="174"/>
      <c r="M390" s="174"/>
      <c r="N390" s="174"/>
      <c r="O390" s="312"/>
      <c r="P390" s="117"/>
      <c r="Q390" s="117"/>
      <c r="R390" s="117"/>
      <c r="S390" s="117"/>
      <c r="T390" s="117"/>
      <c r="W390" s="117"/>
      <c r="X390" s="117"/>
    </row>
    <row r="391" spans="1:25" s="45" customFormat="1">
      <c r="A391" s="117"/>
      <c r="B391" s="175"/>
      <c r="C391" s="175"/>
      <c r="D391" s="117"/>
      <c r="I391" s="54"/>
      <c r="J391" s="176" t="s">
        <v>23</v>
      </c>
      <c r="K391" s="54" t="str">
        <f>K386</f>
        <v>selected(data('q16204_7b'),'1') &amp;&amp;selected(data('q16206_7a'),'1') &amp;&amp; selected(data('q16202_7'),'1') &amp;&amp; selected(data('q16201'),'1')</v>
      </c>
      <c r="L391" s="174"/>
      <c r="M391" s="174"/>
      <c r="N391" s="174"/>
      <c r="O391" s="312"/>
      <c r="P391" s="117"/>
      <c r="Q391" s="117"/>
      <c r="R391" s="117"/>
      <c r="S391" s="117"/>
      <c r="T391" s="117"/>
      <c r="W391" s="117"/>
      <c r="X391" s="117"/>
    </row>
    <row r="392" spans="1:25" s="45" customFormat="1" ht="105">
      <c r="A392" s="117"/>
      <c r="B392" s="175"/>
      <c r="C392" s="175"/>
      <c r="D392" s="117"/>
      <c r="I392" s="54"/>
      <c r="J392" s="44"/>
      <c r="K392" s="54"/>
      <c r="L392" s="174" t="s">
        <v>413</v>
      </c>
      <c r="M392" s="174" t="str">
        <f>CONCATENATE(M387,"_line_",N387)</f>
        <v>roster_line_q16205_7b</v>
      </c>
      <c r="N392" s="174" t="str">
        <f>CONCATENATE(N387,"_1")</f>
        <v>q16205_7b_1</v>
      </c>
      <c r="O392" s="312"/>
      <c r="P392" s="117"/>
      <c r="Q392" s="117"/>
      <c r="R392" s="117"/>
      <c r="S392" s="117" t="str">
        <f>S387</f>
        <v>selected(data('q16204_7b'),'1') &amp;&amp;selected(data('q16206_7a'),'1') &amp;&amp; selected(data('q16202_7'),'1') &amp;&amp; selected(data('q16201'),'1') &amp;&amp; data('valid_overall') == 1</v>
      </c>
      <c r="T392" s="117"/>
      <c r="V392" s="31" t="str">
        <f>CONCATENATE("(data('",N376,"') != data('",N392,"')) || selected(data('",N378,"'), '2')   || selected(data('",N368,"'), '2')  || selected(data('",N383,"'), '2')  || selected(data('",N364,"'), '2') || selected(data('",$N$6,"'),'2') || data('valid_overall') == 0")</f>
        <v>(data('q16205_7a_1') != data('q16205_7b_1')) || selected(data('q16206_7a'), '2')   || selected(data('q16204_7a'), '2')  || selected(data('q16204_7b'), '2')  || selected(data('q16202_7'), '2') || selected(data('q16201'),'2') || data('valid_overall') == 0</v>
      </c>
      <c r="W392" s="31" t="s">
        <v>1033</v>
      </c>
      <c r="X392" s="31" t="s">
        <v>555</v>
      </c>
      <c r="Y392" s="45" t="b">
        <v>1</v>
      </c>
    </row>
    <row r="393" spans="1:25" s="45" customFormat="1">
      <c r="A393" s="117"/>
      <c r="B393" s="175"/>
      <c r="C393" s="175"/>
      <c r="D393" s="117"/>
      <c r="I393" s="54"/>
      <c r="J393" s="176" t="s">
        <v>24</v>
      </c>
      <c r="K393" s="54"/>
      <c r="L393" s="174"/>
      <c r="M393" s="174"/>
      <c r="N393" s="174"/>
      <c r="O393" s="312"/>
      <c r="P393" s="117"/>
      <c r="Q393" s="117"/>
      <c r="R393" s="117"/>
      <c r="S393" s="117"/>
      <c r="T393" s="117"/>
      <c r="W393" s="117"/>
      <c r="X393" s="117"/>
    </row>
    <row r="394" spans="1:25" s="45" customFormat="1" ht="60">
      <c r="A394" s="117"/>
      <c r="B394" s="175"/>
      <c r="C394" s="175"/>
      <c r="D394" s="117"/>
      <c r="I394" s="54"/>
      <c r="K394" s="54"/>
      <c r="L394" s="174" t="s">
        <v>18</v>
      </c>
      <c r="M394" s="19" t="s">
        <v>17</v>
      </c>
      <c r="N394" s="54" t="str">
        <f>CONCATENATE("q",$I$15, "_",$I$30,"b")</f>
        <v>q16206_7b</v>
      </c>
      <c r="O394" s="312" t="str">
        <f>CONCATENATE(SUBSTITUTE(N394, "q",""),, ". ", SUBSTITUTE($E$15, "]الحيوانات[",$E$30))</f>
        <v>16206_7b. هل هناك شخص آخر يرعى الاحصنة؟</v>
      </c>
      <c r="P394" s="117" t="str">
        <f>CONCATENATE(N394, ". ", SUBSTITUTE($B$15, "[animal]",$B$30))</f>
        <v>q16206_7b. Is there another person who takes care of the  Horses?</v>
      </c>
      <c r="Q394" s="117"/>
      <c r="R394" s="117"/>
      <c r="S394" s="31" t="str">
        <f>CONCATENATE($K389, " &amp;&amp; ", $S$6)</f>
        <v>selected(data('q16206_7a'),'1') &amp;&amp; selected(data('q16202_7'),'1') &amp;&amp; selected(data('q16201'),'1') &amp;&amp; data('valid_overall') == 1</v>
      </c>
      <c r="T394" s="117"/>
      <c r="W394" s="117"/>
      <c r="X394" s="117"/>
      <c r="Y394" s="45" t="b">
        <v>1</v>
      </c>
    </row>
    <row r="395" spans="1:25" s="45" customFormat="1">
      <c r="A395" s="117"/>
      <c r="B395" s="175"/>
      <c r="C395" s="175"/>
      <c r="D395" s="117"/>
      <c r="I395" s="54"/>
      <c r="J395" s="45" t="s">
        <v>21</v>
      </c>
      <c r="K395" s="54"/>
      <c r="L395" s="174"/>
      <c r="M395" s="19"/>
      <c r="N395" s="54"/>
      <c r="O395" s="312"/>
      <c r="P395" s="117"/>
      <c r="Q395" s="117"/>
      <c r="R395" s="117"/>
      <c r="S395" s="31"/>
      <c r="T395" s="117"/>
      <c r="W395" s="117"/>
      <c r="X395" s="117"/>
    </row>
    <row r="396" spans="1:25" s="45" customFormat="1">
      <c r="A396" s="117"/>
      <c r="B396" s="175"/>
      <c r="C396" s="175"/>
      <c r="D396" s="117"/>
      <c r="I396" s="54"/>
      <c r="J396" s="178" t="s">
        <v>24</v>
      </c>
      <c r="K396" s="54"/>
      <c r="L396" s="174"/>
      <c r="M396" s="19"/>
      <c r="N396" s="54"/>
      <c r="O396" s="312" t="s">
        <v>471</v>
      </c>
      <c r="P396" s="117"/>
      <c r="Q396" s="117"/>
      <c r="R396" s="117"/>
      <c r="S396" s="31"/>
      <c r="T396" s="117"/>
      <c r="W396" s="117"/>
      <c r="X396" s="117"/>
    </row>
    <row r="397" spans="1:25" s="45" customFormat="1">
      <c r="A397" s="117"/>
      <c r="B397" s="175"/>
      <c r="C397" s="175"/>
      <c r="D397" s="117"/>
      <c r="I397" s="54"/>
      <c r="J397" s="178" t="s">
        <v>23</v>
      </c>
      <c r="K397" s="44" t="str">
        <f>CONCATENATE("selected(data('",N394,"'),'1') &amp;&amp; ", K389)</f>
        <v>selected(data('q16206_7b'),'1') &amp;&amp; selected(data('q16206_7a'),'1') &amp;&amp; selected(data('q16202_7'),'1') &amp;&amp; selected(data('q16201'),'1')</v>
      </c>
      <c r="L397" s="174"/>
      <c r="M397" s="174"/>
      <c r="N397" s="54"/>
      <c r="O397" s="312"/>
      <c r="P397" s="117"/>
      <c r="Q397" s="117"/>
      <c r="R397" s="117"/>
      <c r="S397" s="117"/>
      <c r="T397" s="117"/>
      <c r="W397" s="117"/>
      <c r="X397" s="117"/>
    </row>
    <row r="398" spans="1:25" s="45" customFormat="1" ht="75">
      <c r="A398" s="117"/>
      <c r="B398" s="175"/>
      <c r="C398" s="175"/>
      <c r="D398" s="117"/>
      <c r="I398" s="54"/>
      <c r="K398" s="54"/>
      <c r="L398" s="174" t="s">
        <v>18</v>
      </c>
      <c r="M398" s="19" t="s">
        <v>17</v>
      </c>
      <c r="N398" s="54" t="str">
        <f>CONCATENATE("q",$I$16, "_",$I$30,"c")</f>
        <v>q16204_7c</v>
      </c>
      <c r="O398" s="312" t="str">
        <f>CONCATENATE(SUBSTITUTE(N398, "q",""),, ". ", SUBSTITUTE($E$16, "]الحيوانات[",$E$30))</f>
        <v>16204_7c. هل الشخص الثالث الذي يرعى الاحصنة هو أحد أفراد الأسرة؟</v>
      </c>
      <c r="P398" s="117" t="str">
        <f>CONCATENATE(N398, ". ", SUBSTITUTE($B$16, "[animal]",$B$30))</f>
        <v>q16204_7c. Is the third person who takes care of the  Horses a member of the household?</v>
      </c>
      <c r="Q398" s="117"/>
      <c r="R398" s="117"/>
      <c r="S398" s="31" t="str">
        <f>CONCATENATE($K397, " &amp;&amp; ", $S$6)</f>
        <v>selected(data('q16206_7b'),'1') &amp;&amp; selected(data('q16206_7a'),'1') &amp;&amp; selected(data('q16202_7'),'1') &amp;&amp; selected(data('q16201'),'1') &amp;&amp; data('valid_overall') == 1</v>
      </c>
      <c r="T398" s="117"/>
      <c r="W398" s="117"/>
      <c r="X398" s="117"/>
      <c r="Y398" s="45" t="b">
        <v>1</v>
      </c>
    </row>
    <row r="399" spans="1:25" s="45" customFormat="1">
      <c r="A399" s="117"/>
      <c r="B399" s="175"/>
      <c r="C399" s="175"/>
      <c r="D399" s="117"/>
      <c r="I399" s="54"/>
      <c r="J399" s="178" t="s">
        <v>24</v>
      </c>
      <c r="K399" s="54"/>
      <c r="L399" s="174"/>
      <c r="M399" s="19"/>
      <c r="N399" s="54"/>
      <c r="O399" s="312"/>
      <c r="P399" s="117"/>
      <c r="Q399" s="117"/>
      <c r="R399" s="117"/>
      <c r="S399" s="31"/>
      <c r="T399" s="117"/>
      <c r="W399" s="117"/>
      <c r="X399" s="117"/>
    </row>
    <row r="400" spans="1:25" s="45" customFormat="1">
      <c r="A400" s="117"/>
      <c r="B400" s="175"/>
      <c r="C400" s="175"/>
      <c r="D400" s="117"/>
      <c r="I400" s="54"/>
      <c r="J400" s="178" t="s">
        <v>23</v>
      </c>
      <c r="K400" s="44" t="str">
        <f>CONCATENATE("selected(data('",N398,"'),'1') &amp;&amp; ", K397)</f>
        <v>selected(data('q16204_7c'),'1') &amp;&amp; selected(data('q16206_7b'),'1') &amp;&amp; selected(data('q16206_7a'),'1') &amp;&amp; selected(data('q16202_7'),'1') &amp;&amp; selected(data('q16201'),'1')</v>
      </c>
      <c r="L400" s="174"/>
      <c r="M400" s="174"/>
      <c r="N400" s="54"/>
      <c r="O400" s="312"/>
      <c r="P400" s="117"/>
      <c r="Q400" s="117"/>
      <c r="R400" s="117"/>
      <c r="S400" s="117"/>
      <c r="T400" s="117"/>
      <c r="W400" s="117"/>
      <c r="X400" s="117"/>
    </row>
    <row r="401" spans="1:25" s="45" customFormat="1" ht="90">
      <c r="A401" s="117"/>
      <c r="B401" s="54"/>
      <c r="C401" s="54"/>
      <c r="D401" s="117"/>
      <c r="E401" s="54"/>
      <c r="F401" s="54"/>
      <c r="G401" s="191"/>
      <c r="I401" s="54"/>
      <c r="J401" s="197"/>
      <c r="K401" s="19"/>
      <c r="L401" s="19" t="s">
        <v>174</v>
      </c>
      <c r="M401" s="19" t="s">
        <v>206</v>
      </c>
      <c r="N401" s="54" t="str">
        <f>CONCATENATE("q",$I$17, "_",$I$30,"c")</f>
        <v>q16205_7c</v>
      </c>
      <c r="O401" s="312" t="str">
        <f>CONCATENATE(N401, ". ", SUBSTITUTE($E$16, "]الحيوانات[",$E$30))</f>
        <v>q16205_7c. هل الشخص الثالث الذي يرعى الاحصنة هو أحد أفراد الأسرة؟</v>
      </c>
      <c r="P401" s="117" t="str">
        <f>CONCATENATE(N401, ". ", SUBSTITUTE($B$17, "[animal]",$B$30))</f>
        <v>q16205_7c. Who is the person who takes care of the  Horses? Third member</v>
      </c>
      <c r="Q401" s="117"/>
      <c r="R401" s="117"/>
      <c r="S401" s="31" t="str">
        <f>CONCATENATE($K400, " &amp;&amp; ",$S$6)</f>
        <v>selected(data('q16204_7c'),'1') &amp;&amp; selected(data('q16206_7b'),'1') &amp;&amp; selected(data('q16206_7a'),'1') &amp;&amp; selected(data('q16202_7'),'1') &amp;&amp; selected(data('q16201'),'1') &amp;&amp; data('valid_overall') == 1</v>
      </c>
      <c r="T401" s="117"/>
      <c r="Y401" s="45" t="b">
        <v>1</v>
      </c>
    </row>
    <row r="402" spans="1:25" s="404" customFormat="1">
      <c r="I402" s="18"/>
      <c r="L402" s="18"/>
      <c r="O402" s="70"/>
      <c r="P402" s="30"/>
      <c r="Q402" s="30"/>
      <c r="R402" s="30"/>
      <c r="S402" s="30"/>
      <c r="T402" s="30"/>
    </row>
    <row r="403" spans="1:25" s="45" customFormat="1">
      <c r="A403" s="117"/>
      <c r="B403" s="54"/>
      <c r="C403" s="54"/>
      <c r="D403" s="117"/>
      <c r="E403" s="54"/>
      <c r="F403" s="54"/>
      <c r="G403" s="191"/>
      <c r="I403" s="54"/>
      <c r="J403" s="88" t="s">
        <v>42</v>
      </c>
      <c r="K403" s="64"/>
      <c r="L403" s="19"/>
      <c r="M403" s="64"/>
      <c r="N403" s="64"/>
      <c r="O403" s="407"/>
      <c r="P403" s="31"/>
      <c r="Q403" s="117"/>
      <c r="R403" s="117"/>
      <c r="S403" s="117"/>
      <c r="T403" s="117"/>
    </row>
    <row r="404" spans="1:25" s="45" customFormat="1">
      <c r="A404" s="117"/>
      <c r="B404" s="54"/>
      <c r="C404" s="54"/>
      <c r="D404" s="117"/>
      <c r="E404" s="54"/>
      <c r="F404" s="54"/>
      <c r="G404" s="191"/>
      <c r="I404" s="54"/>
      <c r="J404" s="88" t="s">
        <v>23</v>
      </c>
      <c r="K404" s="64" t="str">
        <f>K366</f>
        <v>selected(data('q16202_7'),'1') &amp;&amp; selected(data('q16201'),'1')</v>
      </c>
      <c r="L404" s="19"/>
      <c r="M404" s="64"/>
      <c r="N404" s="64"/>
      <c r="O404" s="407"/>
      <c r="P404" s="31"/>
      <c r="Q404" s="117"/>
      <c r="R404" s="117"/>
      <c r="S404" s="117"/>
      <c r="T404" s="117"/>
    </row>
    <row r="405" spans="1:25" s="45" customFormat="1">
      <c r="A405" s="117"/>
      <c r="B405" s="54"/>
      <c r="C405" s="54"/>
      <c r="D405" s="117"/>
      <c r="E405" s="54"/>
      <c r="F405" s="54"/>
      <c r="G405" s="191"/>
      <c r="I405" s="54"/>
      <c r="J405" s="405" t="s">
        <v>20</v>
      </c>
      <c r="K405" s="64"/>
      <c r="L405" s="19"/>
      <c r="M405" s="64"/>
      <c r="N405" s="64"/>
      <c r="O405" s="407"/>
      <c r="P405" s="31"/>
      <c r="Q405" s="117"/>
      <c r="R405" s="117"/>
      <c r="S405" s="117"/>
      <c r="T405" s="117"/>
    </row>
    <row r="406" spans="1:25" s="45" customFormat="1">
      <c r="A406" s="117"/>
      <c r="B406" s="54"/>
      <c r="C406" s="54"/>
      <c r="D406" s="117"/>
      <c r="E406" s="54"/>
      <c r="F406" s="54"/>
      <c r="G406" s="191"/>
      <c r="I406" s="54"/>
      <c r="J406" s="66" t="s">
        <v>23</v>
      </c>
      <c r="K406" s="64" t="str">
        <f>K400</f>
        <v>selected(data('q16204_7c'),'1') &amp;&amp; selected(data('q16206_7b'),'1') &amp;&amp; selected(data('q16206_7a'),'1') &amp;&amp; selected(data('q16202_7'),'1') &amp;&amp; selected(data('q16201'),'1')</v>
      </c>
      <c r="L406" s="19"/>
      <c r="M406" s="64"/>
      <c r="N406" s="64"/>
      <c r="O406" s="407"/>
      <c r="P406" s="31"/>
      <c r="Q406" s="117"/>
      <c r="R406" s="117"/>
      <c r="S406" s="117"/>
      <c r="T406" s="117"/>
    </row>
    <row r="407" spans="1:25" s="45" customFormat="1" ht="255">
      <c r="A407" s="117"/>
      <c r="B407" s="175"/>
      <c r="C407" s="175"/>
      <c r="D407" s="117"/>
      <c r="I407" s="54"/>
      <c r="J407" s="176"/>
      <c r="K407" s="54"/>
      <c r="L407" s="174" t="s">
        <v>413</v>
      </c>
      <c r="M407" s="174" t="str">
        <f>CONCATENATE(M401,"_line_",N401)</f>
        <v>roster_line_q16205_7c</v>
      </c>
      <c r="N407" s="174" t="str">
        <f>CONCATENATE(N401,"_1")</f>
        <v>q16205_7c_1</v>
      </c>
      <c r="O407" s="312"/>
      <c r="P407" s="117"/>
      <c r="Q407" s="117"/>
      <c r="R407" s="117"/>
      <c r="S407" s="117" t="str">
        <f>S401</f>
        <v>selected(data('q16204_7c'),'1') &amp;&amp; selected(data('q16206_7b'),'1') &amp;&amp; selected(data('q16206_7a'),'1') &amp;&amp; selected(data('q16202_7'),'1') &amp;&amp; selected(data('q16201'),'1') &amp;&amp; data('valid_overall') == 1</v>
      </c>
      <c r="T407" s="117"/>
      <c r="V407" s="31" t="str">
        <f>CONCATENATE(" (((data('",N376,"') != data('",N392,"')) || selected(data('",N378,"'), '2')   || selected(data('",N368,"'), '2')  || selected(data('",N383,"'), '2')) &amp;&amp; ((data('",N392,"') != data('",N407,"'))  || selected(data('",N378,"'), '2') || selected(data('",N394,"'), '2')   || selected(data('",N383,"'), '2')  || selected(data('",N398,"'), '2'))   &amp;&amp; ((data('",N376,"') != data('",N407,"'))  || selected(data('",N378,"'), '2')|| selected(data('",N398,"'), '2')   || selected(data('",N368,"'), '2')  || selected(data('",N398,"'), '2'))  )  || selected(data('",N364,"'), '2') || selected(data('",$N$6,"'),'2') || data('valid_overall') == 0")</f>
        <v xml:space="preserve"> (((data('q16205_7a_1') != data('q16205_7b_1')) || selected(data('q16206_7a'), '2')   || selected(data('q16204_7a'), '2')  || selected(data('q16204_7b'), '2')) &amp;&amp; ((data('q16205_7b_1') != data('q16205_7c_1'))  || selected(data('q16206_7a'), '2') || selected(data('q16206_7b'), '2')   || selected(data('q16204_7b'), '2')  || selected(data('q16204_7c'), '2'))   &amp;&amp; ((data('q16205_7a_1') != data('q16205_7c_1'))  || selected(data('q16206_7a'), '2')|| selected(data('q16204_7c'), '2')   || selected(data('q16204_7a'), '2')  || selected(data('q16204_7c'), '2'))  )  || selected(data('q16202_7'), '2') || selected(data('q16201'),'2') || data('valid_overall') == 0</v>
      </c>
      <c r="W407" s="31" t="s">
        <v>1033</v>
      </c>
      <c r="X407" s="31" t="s">
        <v>555</v>
      </c>
      <c r="Y407" s="45" t="b">
        <v>1</v>
      </c>
    </row>
    <row r="408" spans="1:25" s="45" customFormat="1">
      <c r="A408" s="117"/>
      <c r="B408" s="54"/>
      <c r="C408" s="54"/>
      <c r="D408" s="117"/>
      <c r="E408" s="54"/>
      <c r="F408" s="54"/>
      <c r="G408" s="191"/>
      <c r="I408" s="54"/>
      <c r="J408" s="66" t="s">
        <v>24</v>
      </c>
      <c r="K408" s="64"/>
      <c r="L408" s="19"/>
      <c r="M408" s="64"/>
      <c r="N408" s="64"/>
      <c r="O408" s="407"/>
      <c r="P408" s="31"/>
      <c r="Q408" s="117"/>
      <c r="R408" s="117"/>
      <c r="S408" s="117"/>
      <c r="T408" s="117"/>
    </row>
    <row r="409" spans="1:25" s="45" customFormat="1" ht="45">
      <c r="A409" s="117"/>
      <c r="B409" s="117"/>
      <c r="C409" s="117"/>
      <c r="D409" s="117"/>
      <c r="E409" s="118"/>
      <c r="F409" s="118"/>
      <c r="G409" s="191"/>
      <c r="I409" s="54"/>
      <c r="J409" s="192"/>
      <c r="L409" s="54" t="s">
        <v>18</v>
      </c>
      <c r="M409" s="45" t="s">
        <v>17</v>
      </c>
      <c r="N409" s="45" t="str">
        <f>CONCATENATE("q",$I$19, "_",$I$30)</f>
        <v>q16208_7</v>
      </c>
      <c r="O409" s="312" t="str">
        <f>CONCATENATE(N409, ". ", SUBSTITUTE($E$19, "]الحيوانات[",$E$30))</f>
        <v>q16208_7. خلال الـ12 شهر الماضية، هل قمت ببيع أي من الاحصنة؟</v>
      </c>
      <c r="P409" s="117" t="str">
        <f>CONCATENATE(N409, ". ", SUBSTITUTE($B$19, "[animal]",$B$30))</f>
        <v>q16208_7. During the past 12 months have you sold any of the  Horses?</v>
      </c>
      <c r="Q409" s="117"/>
      <c r="R409" s="117"/>
      <c r="S409" s="31" t="str">
        <f>CONCATENATE($K366, " &amp;&amp; ", $S$6)</f>
        <v>selected(data('q16202_7'),'1') &amp;&amp; selected(data('q16201'),'1') &amp;&amp; data('valid_overall') == 1</v>
      </c>
      <c r="T409" s="117"/>
      <c r="Y409" s="45" t="b">
        <v>1</v>
      </c>
    </row>
    <row r="410" spans="1:25" s="45" customFormat="1">
      <c r="A410" s="117"/>
      <c r="B410" s="117"/>
      <c r="C410" s="117"/>
      <c r="D410" s="117"/>
      <c r="E410" s="118"/>
      <c r="F410" s="118"/>
      <c r="G410" s="191"/>
      <c r="I410" s="54"/>
      <c r="J410" s="44" t="s">
        <v>21</v>
      </c>
      <c r="L410" s="54"/>
      <c r="O410" s="312"/>
      <c r="P410" s="117"/>
      <c r="Q410" s="117"/>
      <c r="R410" s="117"/>
      <c r="S410" s="31"/>
      <c r="T410" s="117"/>
    </row>
    <row r="411" spans="1:25" s="45" customFormat="1">
      <c r="A411" s="117"/>
      <c r="B411" s="117"/>
      <c r="C411" s="117"/>
      <c r="D411" s="117"/>
      <c r="E411" s="118"/>
      <c r="F411" s="118"/>
      <c r="G411" s="191"/>
      <c r="I411" s="54"/>
      <c r="J411" s="178" t="s">
        <v>24</v>
      </c>
      <c r="L411" s="54"/>
      <c r="O411" s="312"/>
      <c r="P411" s="117"/>
      <c r="Q411" s="117"/>
      <c r="R411" s="117"/>
      <c r="S411" s="31"/>
      <c r="T411" s="117"/>
    </row>
    <row r="412" spans="1:25" s="45" customFormat="1">
      <c r="B412" s="117"/>
      <c r="C412" s="117"/>
      <c r="D412" s="54"/>
      <c r="E412" s="117"/>
      <c r="F412" s="117"/>
      <c r="G412" s="54"/>
      <c r="H412" s="191"/>
      <c r="I412" s="54"/>
      <c r="J412" s="178" t="s">
        <v>23</v>
      </c>
      <c r="K412" s="45" t="str">
        <f>CONCATENATE("selected(data('",N409,"'),'1') &amp;&amp; ",K404)</f>
        <v>selected(data('q16208_7'),'1') &amp;&amp; selected(data('q16202_7'),'1') &amp;&amp; selected(data('q16201'),'1')</v>
      </c>
      <c r="L412" s="54"/>
      <c r="O412" s="312"/>
      <c r="P412" s="117"/>
      <c r="Q412" s="117"/>
      <c r="R412" s="117"/>
      <c r="S412" s="117"/>
      <c r="T412" s="117"/>
    </row>
    <row r="413" spans="1:25" s="45" customFormat="1" ht="60">
      <c r="B413" s="117"/>
      <c r="C413" s="117"/>
      <c r="D413" s="54"/>
      <c r="E413" s="117"/>
      <c r="F413" s="117"/>
      <c r="G413" s="54"/>
      <c r="H413" s="191"/>
      <c r="I413" s="54"/>
      <c r="J413" s="193"/>
      <c r="L413" s="54" t="s">
        <v>19</v>
      </c>
      <c r="N413" s="45" t="str">
        <f>CONCATENATE("q",$I$20, "_",$I$30)</f>
        <v>q16209_7</v>
      </c>
      <c r="O413" s="312" t="str">
        <f>CONCATENATE(N413, ". ", SUBSTITUTE($E$20,  "]الحيوانات[",$E$30))</f>
        <v>q16209_7. كم عدد الاحصنة  الذى تم بيعه؟</v>
      </c>
      <c r="P413" s="190" t="str">
        <f>CONCATENATE(N413, ". ", SUBSTITUTE($B$20, "[animal]",$B$30))</f>
        <v>q16209_7. How many  Horses have been sold?</v>
      </c>
      <c r="Q413" s="31" t="str">
        <f>$F$20</f>
        <v xml:space="preserve"> في حالة لا أعرف سجل  98</v>
      </c>
      <c r="R413" s="31" t="str">
        <f>$C$20</f>
        <v>*If don't know, write 98</v>
      </c>
      <c r="S413" s="31" t="str">
        <f>CONCATENATE($K412," &amp;&amp; ", $S$6)</f>
        <v>selected(data('q16208_7'),'1') &amp;&amp; selected(data('q16202_7'),'1') &amp;&amp; selected(data('q16201'),'1') &amp;&amp; data('valid_overall') == 1</v>
      </c>
      <c r="T413" s="31"/>
      <c r="Y413" s="45" t="b">
        <v>1</v>
      </c>
    </row>
    <row r="414" spans="1:25" s="45" customFormat="1" ht="60">
      <c r="B414" s="117"/>
      <c r="C414" s="117"/>
      <c r="D414" s="54"/>
      <c r="E414" s="117"/>
      <c r="F414" s="117"/>
      <c r="G414" s="54"/>
      <c r="H414" s="191"/>
      <c r="I414" s="54"/>
      <c r="J414" s="193"/>
      <c r="L414" s="54" t="s">
        <v>19</v>
      </c>
      <c r="N414" s="45" t="str">
        <f>CONCATENATE("q",$I$21, "_",$I$30)</f>
        <v>q16210_7</v>
      </c>
      <c r="O414" s="312" t="str">
        <f>CONCATENATE(N414, ". ", SUBSTITUTE($E$21,  "]الحيوانات[",$E$30))</f>
        <v xml:space="preserve">q16210_7. ما  قيمة البيع الإجمالية من الاحصنة  ؟ (بالجنيه)
</v>
      </c>
      <c r="P414" s="190" t="str">
        <f>CONCATENATE(N414, ". ", SUBSTITUTE($B$21, "[animal]",$B$30))</f>
        <v>q16210_7. What was the total value of the sales of  Horses ? (in pounds)</v>
      </c>
      <c r="Q414" s="31" t="str">
        <f>$F$21</f>
        <v>في حالة لا أعرف سجل 999998</v>
      </c>
      <c r="R414" s="31" t="str">
        <f>$C$21</f>
        <v xml:space="preserve"> *If don't know, write 999998</v>
      </c>
      <c r="S414" s="31" t="str">
        <f>CONCATENATE($K412," &amp;&amp; ", $S$6)</f>
        <v>selected(data('q16208_7'),'1') &amp;&amp; selected(data('q16202_7'),'1') &amp;&amp; selected(data('q16201'),'1') &amp;&amp; data('valid_overall') == 1</v>
      </c>
      <c r="T414" s="31"/>
      <c r="Y414" s="45" t="b">
        <v>1</v>
      </c>
    </row>
    <row r="415" spans="1:25" s="45" customFormat="1">
      <c r="B415" s="117"/>
      <c r="C415" s="117"/>
      <c r="E415" s="117"/>
      <c r="F415" s="117"/>
      <c r="H415" s="191"/>
      <c r="I415" s="54"/>
      <c r="J415" s="178" t="s">
        <v>42</v>
      </c>
      <c r="L415" s="54"/>
      <c r="O415" s="312"/>
      <c r="P415" s="117"/>
      <c r="Q415" s="117"/>
      <c r="R415" s="117"/>
      <c r="S415" s="117"/>
      <c r="T415" s="117"/>
    </row>
    <row r="416" spans="1:25" s="249" customFormat="1">
      <c r="B416" s="250"/>
      <c r="C416" s="250"/>
      <c r="E416" s="250"/>
      <c r="F416" s="250"/>
      <c r="H416" s="251" t="s">
        <v>792</v>
      </c>
      <c r="I416" s="253"/>
      <c r="J416" s="252"/>
      <c r="L416" s="253"/>
      <c r="O416" s="330"/>
      <c r="P416" s="250"/>
      <c r="Q416" s="250"/>
      <c r="R416" s="250"/>
      <c r="S416" s="250"/>
      <c r="T416" s="250"/>
      <c r="W416" s="45"/>
    </row>
    <row r="417" spans="1:25" s="31" customFormat="1">
      <c r="I417" s="19"/>
      <c r="J417" s="88" t="s">
        <v>23</v>
      </c>
      <c r="K417" s="64" t="str">
        <f>CONCATENATE("selected(data('",$N$6,"'),'1')")</f>
        <v>selected(data('q16201'),'1')</v>
      </c>
      <c r="O417" s="407"/>
    </row>
    <row r="418" spans="1:25" s="45" customFormat="1" ht="60">
      <c r="B418" s="117"/>
      <c r="C418" s="117"/>
      <c r="D418" s="117"/>
      <c r="E418" s="117"/>
      <c r="F418" s="117"/>
      <c r="G418" s="118"/>
      <c r="I418" s="54"/>
      <c r="L418" s="54" t="s">
        <v>18</v>
      </c>
      <c r="M418" s="45" t="s">
        <v>17</v>
      </c>
      <c r="N418" s="45" t="str">
        <f>CONCATENATE("q",$I$8, "_",$I$31)</f>
        <v>q16202_8</v>
      </c>
      <c r="O418" s="312" t="str">
        <f>CONCATENATE(SUBSTITUTE(N418, "q",""), ". ", SUBSTITUTE($E$8, "]الحيوانات[",$E$31))</f>
        <v>16202_8. هل تمتلك الأسرة أو أي من أفرادها أي الجاموس؟</v>
      </c>
      <c r="P418" s="190" t="str">
        <f>CONCATENATE(N418, ". ", SUBSTITUTE($B$8, "[animal]",$B$31))</f>
        <v>q16202_8. Does any member of your household currently have any  Buffaloes?</v>
      </c>
      <c r="Q418" s="117"/>
      <c r="R418" s="117"/>
      <c r="S418" s="117" t="str">
        <f>CONCATENATE($K417, " &amp;&amp; ", $S$6)</f>
        <v>selected(data('q16201'),'1') &amp;&amp; data('valid_overall') == 1</v>
      </c>
      <c r="T418" s="117"/>
      <c r="W418" s="117"/>
      <c r="X418" s="117"/>
      <c r="Y418" s="45" t="b">
        <v>1</v>
      </c>
    </row>
    <row r="419" spans="1:25" s="45" customFormat="1">
      <c r="B419" s="117"/>
      <c r="C419" s="117"/>
      <c r="D419" s="117"/>
      <c r="E419" s="117"/>
      <c r="F419" s="117"/>
      <c r="G419" s="118"/>
      <c r="I419" s="54"/>
      <c r="J419" s="178" t="s">
        <v>24</v>
      </c>
      <c r="L419" s="54"/>
      <c r="O419" s="312"/>
      <c r="P419" s="190"/>
      <c r="Q419" s="117"/>
      <c r="R419" s="117"/>
      <c r="S419" s="117"/>
      <c r="T419" s="117"/>
      <c r="W419" s="117"/>
      <c r="X419" s="117"/>
    </row>
    <row r="420" spans="1:25" s="45" customFormat="1">
      <c r="I420" s="15"/>
      <c r="J420" s="178" t="s">
        <v>23</v>
      </c>
      <c r="K420" s="45" t="str">
        <f>CONCATENATE("selected(data('",N418,"'),'1') &amp;&amp; ", K417)</f>
        <v>selected(data('q16202_8'),'1') &amp;&amp; selected(data('q16201'),'1')</v>
      </c>
      <c r="L420" s="54"/>
      <c r="O420" s="312"/>
      <c r="P420" s="117"/>
      <c r="Q420" s="117"/>
      <c r="R420" s="117"/>
      <c r="S420" s="117"/>
      <c r="T420" s="117"/>
    </row>
    <row r="421" spans="1:25" s="45" customFormat="1" ht="60">
      <c r="B421" s="117"/>
      <c r="C421" s="117"/>
      <c r="D421" s="54"/>
      <c r="E421" s="117"/>
      <c r="F421" s="117"/>
      <c r="G421" s="54"/>
      <c r="H421" s="191"/>
      <c r="I421" s="54"/>
      <c r="J421" s="178"/>
      <c r="L421" s="54" t="s">
        <v>19</v>
      </c>
      <c r="N421" s="45" t="str">
        <f>CONCATENATE("q",$I$9, "_",$I$31)</f>
        <v>q16203_8</v>
      </c>
      <c r="O421" s="312" t="str">
        <f>CONCATENATE(SUBSTITUTE(N421, "q",""), ". ", SUBSTITUTE($E$9, "]الحيوانات[",$E$31))</f>
        <v>16203_8. كم عدد الجاموس التي تملكها الأسرة خلص أو مشاركة؟</v>
      </c>
      <c r="P421" s="117" t="str">
        <f>CONCATENATE(N421, ". ", SUBSTITUTE($B$9, "[animal]",$B$31))</f>
        <v>q16203_8. How many   Buffaloes does your household currently own entirely or with sharing?</v>
      </c>
      <c r="Q421" s="117"/>
      <c r="R421" s="117"/>
      <c r="S421" s="31" t="str">
        <f>CONCATENATE($K420, " &amp;&amp; ", $S$6)</f>
        <v>selected(data('q16202_8'),'1') &amp;&amp; selected(data('q16201'),'1') &amp;&amp; data('valid_overall') == 1</v>
      </c>
      <c r="T421" s="117"/>
      <c r="Y421" s="45" t="b">
        <v>1</v>
      </c>
    </row>
    <row r="422" spans="1:25" s="45" customFormat="1" ht="60">
      <c r="B422" s="117"/>
      <c r="C422" s="117"/>
      <c r="D422" s="117"/>
      <c r="E422" s="117"/>
      <c r="F422" s="117"/>
      <c r="G422" s="54"/>
      <c r="H422" s="191"/>
      <c r="I422" s="54"/>
      <c r="J422" s="159"/>
      <c r="K422" s="19"/>
      <c r="L422" s="54" t="s">
        <v>18</v>
      </c>
      <c r="M422" s="19" t="s">
        <v>17</v>
      </c>
      <c r="N422" s="54" t="str">
        <f>CONCATENATE("q",$I$10, "_",$I$31,"a")</f>
        <v>q16204_8a</v>
      </c>
      <c r="O422" s="312" t="str">
        <f>CONCATENATE(SUBSTITUTE(N422, "q",""), ". ", SUBSTITUTE($E$10, "]الحيوانات[",$E$31))</f>
        <v>16204_8a. هل الشخص الرئيسي الذي يرعى الجاموس هو أحد أفراد الأسرة؟</v>
      </c>
      <c r="P422" s="117" t="str">
        <f>CONCATENATE(N422, ". ", SUBSTITUTE($B$10, "[animal]",$B$31))</f>
        <v>q16204_8a. Is the primary person who takes care of the  Buffaloes a member of the household?</v>
      </c>
      <c r="Q422" s="117"/>
      <c r="R422" s="117"/>
      <c r="S422" s="31" t="str">
        <f>CONCATENATE($K420, " &amp;&amp; ", $S$6)</f>
        <v>selected(data('q16202_8'),'1') &amp;&amp; selected(data('q16201'),'1') &amp;&amp; data('valid_overall') == 1</v>
      </c>
      <c r="T422" s="117"/>
      <c r="Y422" s="45" t="b">
        <v>1</v>
      </c>
    </row>
    <row r="423" spans="1:25" s="45" customFormat="1">
      <c r="B423" s="117"/>
      <c r="C423" s="117"/>
      <c r="D423" s="117"/>
      <c r="E423" s="117"/>
      <c r="F423" s="117"/>
      <c r="G423" s="54"/>
      <c r="H423" s="191"/>
      <c r="I423" s="54"/>
      <c r="J423" s="88" t="s">
        <v>24</v>
      </c>
      <c r="K423" s="19"/>
      <c r="L423" s="54"/>
      <c r="M423" s="19"/>
      <c r="N423" s="54"/>
      <c r="O423" s="312"/>
      <c r="P423" s="117"/>
      <c r="Q423" s="117"/>
      <c r="R423" s="117"/>
      <c r="S423" s="31"/>
      <c r="T423" s="117"/>
    </row>
    <row r="424" spans="1:25" s="45" customFormat="1">
      <c r="B424" s="117"/>
      <c r="C424" s="117"/>
      <c r="D424" s="117"/>
      <c r="E424" s="117"/>
      <c r="F424" s="117"/>
      <c r="G424" s="54"/>
      <c r="H424" s="191"/>
      <c r="I424" s="54"/>
      <c r="J424" s="178" t="s">
        <v>23</v>
      </c>
      <c r="K424" s="44" t="str">
        <f>CONCATENATE("selected(data('",N422,"'),'1') &amp;&amp; ", K420)</f>
        <v>selected(data('q16204_8a'),'1') &amp;&amp; selected(data('q16202_8'),'1') &amp;&amp; selected(data('q16201'),'1')</v>
      </c>
      <c r="L424" s="54"/>
      <c r="M424" s="19"/>
      <c r="N424" s="54"/>
      <c r="O424" s="312"/>
      <c r="P424" s="117"/>
      <c r="Q424" s="117"/>
      <c r="R424" s="117"/>
      <c r="S424" s="117"/>
      <c r="T424" s="117"/>
    </row>
    <row r="425" spans="1:25" s="45" customFormat="1" ht="60">
      <c r="A425" s="117"/>
      <c r="B425" s="54"/>
      <c r="C425" s="54"/>
      <c r="D425" s="117"/>
      <c r="E425" s="54"/>
      <c r="F425" s="54"/>
      <c r="G425" s="191"/>
      <c r="I425" s="54"/>
      <c r="J425" s="159"/>
      <c r="K425" s="19"/>
      <c r="L425" s="19" t="s">
        <v>174</v>
      </c>
      <c r="M425" s="19" t="s">
        <v>206</v>
      </c>
      <c r="N425" s="54" t="str">
        <f>CONCATENATE("q",$I$11, "_",$I$31,"a")</f>
        <v>q16205_8a</v>
      </c>
      <c r="O425" s="312" t="str">
        <f>CONCATENATE(SUBSTITUTE(N425, "q",""),, ". ", SUBSTITUTE($E$11, "]الحيوانات[",$E$31))</f>
        <v>16205_8a. من الشخص المسؤول عن رعاية الجاموس في الأسرة؟ أول فرد</v>
      </c>
      <c r="P425" s="117" t="str">
        <f>CONCATENATE(N425, ". ", SUBSTITUTE($B$11, "[animal]",$B$31))</f>
        <v>q16205_8a. Who is the primary person who takes care of the  Buffaloes? First member</v>
      </c>
      <c r="Q425" s="117"/>
      <c r="R425" s="117"/>
      <c r="S425" s="31" t="str">
        <f>CONCATENATE($K424, " &amp;&amp; ", $S$6)</f>
        <v>selected(data('q16204_8a'),'1') &amp;&amp; selected(data('q16202_8'),'1') &amp;&amp; selected(data('q16201'),'1') &amp;&amp; data('valid_overall') == 1</v>
      </c>
      <c r="T425" s="117"/>
      <c r="Y425" s="45" t="b">
        <v>1</v>
      </c>
    </row>
    <row r="426" spans="1:25" s="45" customFormat="1">
      <c r="A426" s="117"/>
      <c r="B426" s="54"/>
      <c r="C426" s="54"/>
      <c r="D426" s="117"/>
      <c r="E426" s="54"/>
      <c r="F426" s="54"/>
      <c r="G426" s="191"/>
      <c r="I426" s="54"/>
      <c r="J426" s="178" t="s">
        <v>24</v>
      </c>
      <c r="K426" s="19"/>
      <c r="L426" s="19"/>
      <c r="M426" s="19"/>
      <c r="N426" s="54"/>
      <c r="O426" s="312"/>
      <c r="P426" s="117"/>
      <c r="Q426" s="117"/>
      <c r="R426" s="117"/>
      <c r="S426" s="31"/>
      <c r="T426" s="117"/>
    </row>
    <row r="427" spans="1:25" s="45" customFormat="1">
      <c r="A427" s="117"/>
      <c r="B427" s="175"/>
      <c r="C427" s="175"/>
      <c r="D427" s="117"/>
      <c r="I427" s="54"/>
      <c r="J427" s="178" t="s">
        <v>23</v>
      </c>
      <c r="K427" s="54" t="str">
        <f>K420</f>
        <v>selected(data('q16202_8'),'1') &amp;&amp; selected(data('q16201'),'1')</v>
      </c>
      <c r="L427" s="174"/>
      <c r="M427" s="174"/>
      <c r="N427" s="174"/>
      <c r="O427" s="312"/>
      <c r="P427" s="117"/>
      <c r="Q427" s="117"/>
      <c r="R427" s="117"/>
      <c r="S427" s="117"/>
      <c r="T427" s="117"/>
      <c r="W427" s="117"/>
      <c r="X427" s="117"/>
    </row>
    <row r="428" spans="1:25" s="45" customFormat="1">
      <c r="A428" s="117"/>
      <c r="B428" s="175"/>
      <c r="C428" s="175"/>
      <c r="D428" s="117"/>
      <c r="I428" s="54"/>
      <c r="J428" s="44" t="s">
        <v>20</v>
      </c>
      <c r="K428" s="54"/>
      <c r="L428" s="174"/>
      <c r="M428" s="174"/>
      <c r="N428" s="174"/>
      <c r="O428" s="312"/>
      <c r="P428" s="117"/>
      <c r="Q428" s="117"/>
      <c r="R428" s="117"/>
      <c r="S428" s="117"/>
      <c r="T428" s="117"/>
      <c r="W428" s="117"/>
      <c r="X428" s="117"/>
    </row>
    <row r="429" spans="1:25" s="45" customFormat="1">
      <c r="A429" s="117"/>
      <c r="B429" s="175"/>
      <c r="C429" s="175"/>
      <c r="D429" s="117"/>
      <c r="I429" s="54"/>
      <c r="J429" s="176" t="s">
        <v>23</v>
      </c>
      <c r="K429" s="54" t="str">
        <f>K424</f>
        <v>selected(data('q16204_8a'),'1') &amp;&amp; selected(data('q16202_8'),'1') &amp;&amp; selected(data('q16201'),'1')</v>
      </c>
      <c r="L429" s="174"/>
      <c r="M429" s="174"/>
      <c r="N429" s="174"/>
      <c r="O429" s="312"/>
      <c r="P429" s="117"/>
      <c r="Q429" s="117"/>
      <c r="R429" s="117"/>
      <c r="S429" s="117"/>
      <c r="T429" s="117"/>
      <c r="W429" s="117"/>
      <c r="X429" s="117"/>
    </row>
    <row r="430" spans="1:25" s="45" customFormat="1">
      <c r="A430" s="117"/>
      <c r="B430" s="175"/>
      <c r="C430" s="175"/>
      <c r="D430" s="117"/>
      <c r="I430" s="54"/>
      <c r="K430" s="54"/>
      <c r="L430" s="174" t="s">
        <v>413</v>
      </c>
      <c r="M430" s="174" t="str">
        <f>CONCATENATE(M425,"_line_",N425)</f>
        <v>roster_line_q16205_8a</v>
      </c>
      <c r="N430" s="174" t="str">
        <f>CONCATENATE(N425,"_1")</f>
        <v>q16205_8a_1</v>
      </c>
      <c r="O430" s="312"/>
      <c r="P430" s="117"/>
      <c r="Q430" s="117"/>
      <c r="R430" s="117"/>
      <c r="S430" s="117" t="str">
        <f>S425</f>
        <v>selected(data('q16204_8a'),'1') &amp;&amp; selected(data('q16202_8'),'1') &amp;&amp; selected(data('q16201'),'1') &amp;&amp; data('valid_overall') == 1</v>
      </c>
      <c r="T430" s="117"/>
      <c r="W430" s="117"/>
      <c r="X430" s="117"/>
      <c r="Y430" s="45" t="b">
        <v>1</v>
      </c>
    </row>
    <row r="431" spans="1:25" s="45" customFormat="1">
      <c r="A431" s="117"/>
      <c r="B431" s="175"/>
      <c r="C431" s="175"/>
      <c r="D431" s="117"/>
      <c r="I431" s="54"/>
      <c r="J431" s="176" t="s">
        <v>24</v>
      </c>
      <c r="K431" s="54"/>
      <c r="L431" s="174"/>
      <c r="M431" s="174"/>
      <c r="N431" s="174"/>
      <c r="O431" s="312"/>
      <c r="P431" s="117"/>
      <c r="Q431" s="117"/>
      <c r="R431" s="117"/>
      <c r="S431" s="117"/>
      <c r="T431" s="117"/>
      <c r="W431" s="117"/>
      <c r="X431" s="117"/>
    </row>
    <row r="432" spans="1:25" s="45" customFormat="1" ht="45">
      <c r="A432" s="117"/>
      <c r="B432" s="175"/>
      <c r="C432" s="175"/>
      <c r="D432" s="117"/>
      <c r="I432" s="54"/>
      <c r="K432" s="54"/>
      <c r="L432" s="174" t="s">
        <v>18</v>
      </c>
      <c r="M432" s="19" t="s">
        <v>17</v>
      </c>
      <c r="N432" s="54" t="str">
        <f>CONCATENATE("q",$I$12, "_",$I$31,"a")</f>
        <v>q16206_8a</v>
      </c>
      <c r="O432" s="312" t="str">
        <f>CONCATENATE(SUBSTITUTE(N432, "q",""),, ". ", SUBSTITUTE($E$12, "]الحيوانات[",$E$31))</f>
        <v>16206_8a. هل هناك شخص آخر يرعى الجاموس؟</v>
      </c>
      <c r="P432" s="117" t="str">
        <f>CONCATENATE(N432, ". ", SUBSTITUTE($B$12, "[animal]",$B$31))</f>
        <v>q16206_8a. Is there another person who takes care of the  Buffaloes?</v>
      </c>
      <c r="Q432" s="117"/>
      <c r="R432" s="117"/>
      <c r="S432" s="31" t="str">
        <f>CONCATENATE($K427, " &amp;&amp; ", $S$6)</f>
        <v>selected(data('q16202_8'),'1') &amp;&amp; selected(data('q16201'),'1') &amp;&amp; data('valid_overall') == 1</v>
      </c>
      <c r="T432" s="117"/>
      <c r="W432" s="117"/>
      <c r="X432" s="117"/>
      <c r="Y432" s="45" t="b">
        <v>1</v>
      </c>
    </row>
    <row r="433" spans="1:25" s="45" customFormat="1">
      <c r="A433" s="117"/>
      <c r="B433" s="175"/>
      <c r="C433" s="175"/>
      <c r="D433" s="117"/>
      <c r="I433" s="54"/>
      <c r="J433" s="45" t="s">
        <v>21</v>
      </c>
      <c r="K433" s="54"/>
      <c r="L433" s="174"/>
      <c r="M433" s="19"/>
      <c r="N433" s="54"/>
      <c r="O433" s="312"/>
      <c r="P433" s="117"/>
      <c r="Q433" s="117"/>
      <c r="R433" s="117"/>
      <c r="S433" s="31"/>
      <c r="T433" s="117"/>
      <c r="W433" s="117"/>
      <c r="X433" s="117"/>
    </row>
    <row r="434" spans="1:25" s="45" customFormat="1">
      <c r="A434" s="117"/>
      <c r="B434" s="175"/>
      <c r="C434" s="175"/>
      <c r="D434" s="117"/>
      <c r="I434" s="54"/>
      <c r="J434" s="178" t="s">
        <v>24</v>
      </c>
      <c r="K434" s="54"/>
      <c r="L434" s="174"/>
      <c r="M434" s="19"/>
      <c r="N434" s="54"/>
      <c r="O434" s="312"/>
      <c r="P434" s="117"/>
      <c r="Q434" s="117"/>
      <c r="R434" s="117"/>
      <c r="S434" s="31"/>
      <c r="T434" s="117"/>
      <c r="W434" s="117"/>
      <c r="X434" s="117"/>
    </row>
    <row r="435" spans="1:25" s="45" customFormat="1">
      <c r="A435" s="117"/>
      <c r="B435" s="175"/>
      <c r="C435" s="175"/>
      <c r="D435" s="117"/>
      <c r="I435" s="54"/>
      <c r="J435" s="178" t="s">
        <v>23</v>
      </c>
      <c r="K435" s="44" t="str">
        <f>CONCATENATE("selected(data('",N432,"'),'1') &amp;&amp; ",K427)</f>
        <v>selected(data('q16206_8a'),'1') &amp;&amp; selected(data('q16202_8'),'1') &amp;&amp; selected(data('q16201'),'1')</v>
      </c>
      <c r="L435" s="174"/>
      <c r="M435" s="174"/>
      <c r="N435" s="54"/>
      <c r="O435" s="312"/>
      <c r="P435" s="117"/>
      <c r="Q435" s="117"/>
      <c r="R435" s="117"/>
      <c r="S435" s="117"/>
      <c r="T435" s="117"/>
      <c r="W435" s="117"/>
      <c r="X435" s="117"/>
    </row>
    <row r="436" spans="1:25" s="45" customFormat="1">
      <c r="A436" s="117"/>
      <c r="B436" s="175"/>
      <c r="C436" s="175"/>
      <c r="D436" s="117"/>
      <c r="I436" s="54"/>
      <c r="J436" s="44" t="s">
        <v>20</v>
      </c>
      <c r="K436" s="44"/>
      <c r="L436" s="174"/>
      <c r="M436" s="174"/>
      <c r="N436" s="54"/>
      <c r="O436" s="312"/>
      <c r="P436" s="117"/>
      <c r="Q436" s="117"/>
      <c r="R436" s="117"/>
      <c r="S436" s="117"/>
      <c r="T436" s="117"/>
      <c r="W436" s="117"/>
      <c r="X436" s="117"/>
    </row>
    <row r="437" spans="1:25" s="45" customFormat="1" ht="60">
      <c r="A437" s="117"/>
      <c r="B437" s="175"/>
      <c r="C437" s="175"/>
      <c r="D437" s="117"/>
      <c r="I437" s="54"/>
      <c r="K437" s="54"/>
      <c r="L437" s="174" t="s">
        <v>18</v>
      </c>
      <c r="M437" s="19" t="s">
        <v>17</v>
      </c>
      <c r="N437" s="54" t="str">
        <f>CONCATENATE("q",$I$13, "_",$I$31,"b")</f>
        <v>q16204_8b</v>
      </c>
      <c r="O437" s="312" t="str">
        <f>CONCATENATE(SUBSTITUTE(N437, "q",""),, ". ", SUBSTITUTE($E$13, "]الحيوانات[",$E$31))</f>
        <v>16204_8b. هل الشخص الثاني الذي يرعى الجاموس هو أحد أفراد الأسرة؟</v>
      </c>
      <c r="P437" s="117" t="str">
        <f>CONCATENATE(N437, ". ", SUBSTITUTE($B$13, "[animal]",$B$31))</f>
        <v>q16204_8b. Is the second person who takes care of the  Buffaloes a member of the household?</v>
      </c>
      <c r="Q437" s="117"/>
      <c r="R437" s="117"/>
      <c r="S437" s="31" t="str">
        <f>CONCATENATE($K435, " &amp;&amp; ", $S$6)</f>
        <v>selected(data('q16206_8a'),'1') &amp;&amp; selected(data('q16202_8'),'1') &amp;&amp; selected(data('q16201'),'1') &amp;&amp; data('valid_overall') == 1</v>
      </c>
      <c r="T437" s="117"/>
      <c r="W437" s="117"/>
      <c r="X437" s="117"/>
      <c r="Y437" s="45" t="b">
        <v>1</v>
      </c>
    </row>
    <row r="438" spans="1:25" s="45" customFormat="1">
      <c r="A438" s="117"/>
      <c r="B438" s="175"/>
      <c r="C438" s="175"/>
      <c r="D438" s="117"/>
      <c r="I438" s="54"/>
      <c r="J438" s="45" t="s">
        <v>21</v>
      </c>
      <c r="K438" s="54"/>
      <c r="L438" s="174"/>
      <c r="M438" s="19"/>
      <c r="N438" s="54"/>
      <c r="O438" s="312"/>
      <c r="P438" s="117"/>
      <c r="Q438" s="117"/>
      <c r="R438" s="117"/>
      <c r="S438" s="31"/>
      <c r="T438" s="117"/>
      <c r="W438" s="117"/>
      <c r="X438" s="117"/>
    </row>
    <row r="439" spans="1:25" s="45" customFormat="1">
      <c r="A439" s="117"/>
      <c r="B439" s="175"/>
      <c r="C439" s="175"/>
      <c r="D439" s="117"/>
      <c r="I439" s="54"/>
      <c r="J439" s="178" t="s">
        <v>24</v>
      </c>
      <c r="K439" s="54"/>
      <c r="L439" s="174"/>
      <c r="M439" s="19"/>
      <c r="N439" s="54"/>
      <c r="O439" s="312"/>
      <c r="P439" s="117"/>
      <c r="Q439" s="117"/>
      <c r="R439" s="117"/>
      <c r="S439" s="31"/>
      <c r="T439" s="117"/>
      <c r="W439" s="117"/>
      <c r="X439" s="117"/>
    </row>
    <row r="440" spans="1:25" s="45" customFormat="1">
      <c r="A440" s="117"/>
      <c r="B440" s="175"/>
      <c r="C440" s="175"/>
      <c r="D440" s="117"/>
      <c r="I440" s="54"/>
      <c r="J440" s="178" t="s">
        <v>23</v>
      </c>
      <c r="K440" s="44" t="str">
        <f>CONCATENATE("selected(data('",N437,"'),'1') &amp;&amp;", K435)</f>
        <v>selected(data('q16204_8b'),'1') &amp;&amp;selected(data('q16206_8a'),'1') &amp;&amp; selected(data('q16202_8'),'1') &amp;&amp; selected(data('q16201'),'1')</v>
      </c>
      <c r="L440" s="174"/>
      <c r="M440" s="174"/>
      <c r="N440" s="54"/>
      <c r="O440" s="312"/>
      <c r="P440" s="117"/>
      <c r="Q440" s="117"/>
      <c r="R440" s="117"/>
      <c r="S440" s="117"/>
      <c r="T440" s="117"/>
      <c r="W440" s="117"/>
      <c r="X440" s="117"/>
    </row>
    <row r="441" spans="1:25" s="45" customFormat="1" ht="75">
      <c r="A441" s="117"/>
      <c r="B441" s="54"/>
      <c r="C441" s="54"/>
      <c r="D441" s="117"/>
      <c r="E441" s="54"/>
      <c r="F441" s="54"/>
      <c r="G441" s="191"/>
      <c r="I441" s="54"/>
      <c r="J441" s="159"/>
      <c r="K441" s="19"/>
      <c r="L441" s="19" t="s">
        <v>174</v>
      </c>
      <c r="M441" s="19" t="s">
        <v>206</v>
      </c>
      <c r="N441" s="54" t="str">
        <f>CONCATENATE("q",$I$14, "_",$I$31,"b")</f>
        <v>q16205_8b</v>
      </c>
      <c r="O441" s="312" t="str">
        <f>CONCATENATE(SUBSTITUTE(N441, "q",""), ". ", SUBSTITUTE($E$14, "]الحيوانات[",$E$31))</f>
        <v xml:space="preserve">16205_8b. من الشخص المسؤول عن رعاية الجاموس في الأسرة؟ الفرد الثاني </v>
      </c>
      <c r="P441" s="117" t="str">
        <f>CONCATENATE(N441, ". ", SUBSTITUTE($B$14, "[animal]",$B$31))</f>
        <v>q16205_8b. Who is the person who takes care of the  Buffaloes? Second member</v>
      </c>
      <c r="Q441" s="117"/>
      <c r="R441" s="117"/>
      <c r="S441" s="31" t="str">
        <f>CONCATENATE($K440, " &amp;&amp; ", $S$6)</f>
        <v>selected(data('q16204_8b'),'1') &amp;&amp;selected(data('q16206_8a'),'1') &amp;&amp; selected(data('q16202_8'),'1') &amp;&amp; selected(data('q16201'),'1') &amp;&amp; data('valid_overall') == 1</v>
      </c>
      <c r="T441" s="117"/>
      <c r="Y441" s="45" t="b">
        <v>1</v>
      </c>
    </row>
    <row r="442" spans="1:25" s="45" customFormat="1">
      <c r="A442" s="117"/>
      <c r="B442" s="54"/>
      <c r="C442" s="54"/>
      <c r="D442" s="117"/>
      <c r="E442" s="54"/>
      <c r="F442" s="54"/>
      <c r="G442" s="191"/>
      <c r="I442" s="54"/>
      <c r="J442" s="88" t="s">
        <v>24</v>
      </c>
      <c r="K442" s="19"/>
      <c r="L442" s="19"/>
      <c r="M442" s="19"/>
      <c r="N442" s="54"/>
      <c r="O442" s="312"/>
      <c r="P442" s="117"/>
      <c r="Q442" s="117"/>
      <c r="R442" s="117"/>
      <c r="S442" s="31"/>
      <c r="T442" s="117"/>
      <c r="V442" s="31"/>
      <c r="W442" s="31"/>
      <c r="X442" s="31"/>
    </row>
    <row r="443" spans="1:25" s="45" customFormat="1">
      <c r="A443" s="117"/>
      <c r="B443" s="175"/>
      <c r="C443" s="175"/>
      <c r="D443" s="117"/>
      <c r="I443" s="54"/>
      <c r="J443" s="178" t="s">
        <v>23</v>
      </c>
      <c r="K443" s="54" t="str">
        <f>K435</f>
        <v>selected(data('q16206_8a'),'1') &amp;&amp; selected(data('q16202_8'),'1') &amp;&amp; selected(data('q16201'),'1')</v>
      </c>
      <c r="L443" s="174"/>
      <c r="M443" s="174"/>
      <c r="N443" s="174"/>
      <c r="O443" s="312"/>
      <c r="P443" s="117"/>
      <c r="Q443" s="117"/>
      <c r="R443" s="117"/>
      <c r="S443" s="117"/>
      <c r="T443" s="117"/>
      <c r="W443" s="117"/>
      <c r="X443" s="117"/>
    </row>
    <row r="444" spans="1:25" s="45" customFormat="1">
      <c r="A444" s="117"/>
      <c r="B444" s="175"/>
      <c r="C444" s="175"/>
      <c r="D444" s="117"/>
      <c r="I444" s="54"/>
      <c r="J444" s="44" t="s">
        <v>20</v>
      </c>
      <c r="K444" s="54"/>
      <c r="L444" s="174"/>
      <c r="M444" s="174"/>
      <c r="N444" s="174"/>
      <c r="O444" s="312"/>
      <c r="P444" s="117"/>
      <c r="Q444" s="117"/>
      <c r="R444" s="117"/>
      <c r="S444" s="117"/>
      <c r="T444" s="117"/>
      <c r="W444" s="117"/>
      <c r="X444" s="117"/>
    </row>
    <row r="445" spans="1:25" s="45" customFormat="1">
      <c r="A445" s="117"/>
      <c r="B445" s="175"/>
      <c r="C445" s="175"/>
      <c r="D445" s="117"/>
      <c r="I445" s="54"/>
      <c r="J445" s="176" t="s">
        <v>23</v>
      </c>
      <c r="K445" s="54" t="str">
        <f>K440</f>
        <v>selected(data('q16204_8b'),'1') &amp;&amp;selected(data('q16206_8a'),'1') &amp;&amp; selected(data('q16202_8'),'1') &amp;&amp; selected(data('q16201'),'1')</v>
      </c>
      <c r="L445" s="174"/>
      <c r="M445" s="174"/>
      <c r="N445" s="174"/>
      <c r="O445" s="312"/>
      <c r="P445" s="117"/>
      <c r="Q445" s="117"/>
      <c r="R445" s="117"/>
      <c r="S445" s="117"/>
      <c r="T445" s="117"/>
      <c r="W445" s="117"/>
      <c r="X445" s="117"/>
    </row>
    <row r="446" spans="1:25" s="45" customFormat="1" ht="105">
      <c r="A446" s="117"/>
      <c r="B446" s="175"/>
      <c r="C446" s="175"/>
      <c r="D446" s="117"/>
      <c r="I446" s="54"/>
      <c r="J446" s="44"/>
      <c r="K446" s="54"/>
      <c r="L446" s="174" t="s">
        <v>413</v>
      </c>
      <c r="M446" s="174" t="str">
        <f>CONCATENATE(M441,"_line_",N441)</f>
        <v>roster_line_q16205_8b</v>
      </c>
      <c r="N446" s="174" t="str">
        <f>CONCATENATE(N441,"_1")</f>
        <v>q16205_8b_1</v>
      </c>
      <c r="O446" s="312"/>
      <c r="P446" s="117"/>
      <c r="Q446" s="117"/>
      <c r="R446" s="117"/>
      <c r="S446" s="117" t="str">
        <f>S441</f>
        <v>selected(data('q16204_8b'),'1') &amp;&amp;selected(data('q16206_8a'),'1') &amp;&amp; selected(data('q16202_8'),'1') &amp;&amp; selected(data('q16201'),'1') &amp;&amp; data('valid_overall') == 1</v>
      </c>
      <c r="T446" s="117"/>
      <c r="V446" s="31" t="str">
        <f>CONCATENATE("(data('",N430,"') != data('",N446,"')) || selected(data('",N432,"'), '2')   || selected(data('",N422,"'), '2')  || selected(data('",N437,"'), '2')  || selected(data('",N418,"'), '2') || selected(data('",$N$6,"'),'2') || data('valid_overall') == 0")</f>
        <v>(data('q16205_8a_1') != data('q16205_8b_1')) || selected(data('q16206_8a'), '2')   || selected(data('q16204_8a'), '2')  || selected(data('q16204_8b'), '2')  || selected(data('q16202_8'), '2') || selected(data('q16201'),'2') || data('valid_overall') == 0</v>
      </c>
      <c r="W446" s="31" t="s">
        <v>1033</v>
      </c>
      <c r="X446" s="31" t="s">
        <v>555</v>
      </c>
      <c r="Y446" s="45" t="b">
        <v>1</v>
      </c>
    </row>
    <row r="447" spans="1:25" s="45" customFormat="1">
      <c r="A447" s="117"/>
      <c r="B447" s="175"/>
      <c r="C447" s="175"/>
      <c r="D447" s="117"/>
      <c r="I447" s="54"/>
      <c r="J447" s="176" t="s">
        <v>24</v>
      </c>
      <c r="K447" s="54"/>
      <c r="L447" s="174"/>
      <c r="M447" s="174"/>
      <c r="N447" s="174"/>
      <c r="O447" s="312"/>
      <c r="P447" s="117"/>
      <c r="Q447" s="117"/>
      <c r="R447" s="117"/>
      <c r="S447" s="117"/>
      <c r="T447" s="117"/>
      <c r="W447" s="117"/>
      <c r="X447" s="117"/>
    </row>
    <row r="448" spans="1:25" s="45" customFormat="1" ht="60">
      <c r="A448" s="117"/>
      <c r="B448" s="175"/>
      <c r="C448" s="175"/>
      <c r="D448" s="117"/>
      <c r="I448" s="54"/>
      <c r="K448" s="54"/>
      <c r="L448" s="174" t="s">
        <v>18</v>
      </c>
      <c r="M448" s="19" t="s">
        <v>17</v>
      </c>
      <c r="N448" s="54" t="str">
        <f>CONCATENATE("q",$I$15, "_",$I$31,"b")</f>
        <v>q16206_8b</v>
      </c>
      <c r="O448" s="312" t="str">
        <f>CONCATENATE(SUBSTITUTE(N448, "q",""),, ". ", SUBSTITUTE($E$15, "]الحيوانات[",$E$31))</f>
        <v>16206_8b. هل هناك شخص آخر يرعى الجاموس؟</v>
      </c>
      <c r="P448" s="117" t="str">
        <f>CONCATENATE(N448, ". ", SUBSTITUTE($B$15, "[animal]",$B$31))</f>
        <v>q16206_8b. Is there another person who takes care of the  Buffaloes?</v>
      </c>
      <c r="Q448" s="117"/>
      <c r="R448" s="117"/>
      <c r="S448" s="31" t="str">
        <f>CONCATENATE($K443, " &amp;&amp; ", $S$6)</f>
        <v>selected(data('q16206_8a'),'1') &amp;&amp; selected(data('q16202_8'),'1') &amp;&amp; selected(data('q16201'),'1') &amp;&amp; data('valid_overall') == 1</v>
      </c>
      <c r="T448" s="117"/>
      <c r="W448" s="117"/>
      <c r="X448" s="117"/>
      <c r="Y448" s="45" t="b">
        <v>1</v>
      </c>
    </row>
    <row r="449" spans="1:25" s="45" customFormat="1">
      <c r="A449" s="117"/>
      <c r="B449" s="175"/>
      <c r="C449" s="175"/>
      <c r="D449" s="117"/>
      <c r="I449" s="54"/>
      <c r="J449" s="45" t="s">
        <v>21</v>
      </c>
      <c r="K449" s="54"/>
      <c r="L449" s="174"/>
      <c r="M449" s="19"/>
      <c r="N449" s="54"/>
      <c r="O449" s="312"/>
      <c r="P449" s="117"/>
      <c r="Q449" s="117"/>
      <c r="R449" s="117"/>
      <c r="S449" s="31"/>
      <c r="T449" s="117"/>
      <c r="W449" s="117"/>
      <c r="X449" s="117"/>
    </row>
    <row r="450" spans="1:25" s="45" customFormat="1">
      <c r="A450" s="117"/>
      <c r="B450" s="175"/>
      <c r="C450" s="175"/>
      <c r="D450" s="117"/>
      <c r="I450" s="54"/>
      <c r="J450" s="178" t="s">
        <v>24</v>
      </c>
      <c r="K450" s="54"/>
      <c r="L450" s="174"/>
      <c r="M450" s="19"/>
      <c r="N450" s="54"/>
      <c r="O450" s="312" t="s">
        <v>471</v>
      </c>
      <c r="P450" s="117"/>
      <c r="Q450" s="117"/>
      <c r="R450" s="117"/>
      <c r="S450" s="31"/>
      <c r="T450" s="117"/>
      <c r="W450" s="117"/>
      <c r="X450" s="117"/>
    </row>
    <row r="451" spans="1:25" s="45" customFormat="1">
      <c r="A451" s="117"/>
      <c r="B451" s="175"/>
      <c r="C451" s="175"/>
      <c r="D451" s="117"/>
      <c r="I451" s="54"/>
      <c r="J451" s="178" t="s">
        <v>23</v>
      </c>
      <c r="K451" s="44" t="str">
        <f>CONCATENATE("selected(data('",N448,"'),'1') &amp;&amp; ", K443)</f>
        <v>selected(data('q16206_8b'),'1') &amp;&amp; selected(data('q16206_8a'),'1') &amp;&amp; selected(data('q16202_8'),'1') &amp;&amp; selected(data('q16201'),'1')</v>
      </c>
      <c r="L451" s="174"/>
      <c r="M451" s="174"/>
      <c r="N451" s="54"/>
      <c r="O451" s="312"/>
      <c r="P451" s="117"/>
      <c r="Q451" s="117"/>
      <c r="R451" s="117"/>
      <c r="S451" s="117"/>
      <c r="T451" s="117"/>
      <c r="W451" s="117"/>
      <c r="X451" s="117"/>
    </row>
    <row r="452" spans="1:25" s="45" customFormat="1" ht="75">
      <c r="A452" s="117"/>
      <c r="B452" s="175"/>
      <c r="C452" s="175"/>
      <c r="D452" s="117"/>
      <c r="I452" s="54"/>
      <c r="K452" s="54"/>
      <c r="L452" s="174" t="s">
        <v>18</v>
      </c>
      <c r="M452" s="19" t="s">
        <v>17</v>
      </c>
      <c r="N452" s="54" t="str">
        <f>CONCATENATE("q",$I$16, "_",$I$31,"c")</f>
        <v>q16204_8c</v>
      </c>
      <c r="O452" s="312" t="str">
        <f>CONCATENATE(SUBSTITUTE(N452, "q",""),, ". ", SUBSTITUTE($E$16, "]الحيوانات[",$E$31))</f>
        <v>16204_8c. هل الشخص الثالث الذي يرعى الجاموس هو أحد أفراد الأسرة؟</v>
      </c>
      <c r="P452" s="117" t="str">
        <f>CONCATENATE(N452, ". ", SUBSTITUTE($B$16, "[animal]",$B$31))</f>
        <v>q16204_8c. Is the third person who takes care of the  Buffaloes a member of the household?</v>
      </c>
      <c r="Q452" s="117"/>
      <c r="R452" s="117"/>
      <c r="S452" s="31" t="str">
        <f>CONCATENATE($K451, " &amp;&amp; ", $S$6)</f>
        <v>selected(data('q16206_8b'),'1') &amp;&amp; selected(data('q16206_8a'),'1') &amp;&amp; selected(data('q16202_8'),'1') &amp;&amp; selected(data('q16201'),'1') &amp;&amp; data('valid_overall') == 1</v>
      </c>
      <c r="T452" s="117"/>
      <c r="W452" s="117"/>
      <c r="X452" s="117"/>
      <c r="Y452" s="45" t="b">
        <v>1</v>
      </c>
    </row>
    <row r="453" spans="1:25" s="45" customFormat="1">
      <c r="A453" s="117"/>
      <c r="B453" s="175"/>
      <c r="C453" s="175"/>
      <c r="D453" s="117"/>
      <c r="I453" s="54"/>
      <c r="J453" s="178" t="s">
        <v>24</v>
      </c>
      <c r="K453" s="54"/>
      <c r="L453" s="174"/>
      <c r="M453" s="19"/>
      <c r="N453" s="54"/>
      <c r="O453" s="312"/>
      <c r="P453" s="117"/>
      <c r="Q453" s="117"/>
      <c r="R453" s="117"/>
      <c r="S453" s="31"/>
      <c r="T453" s="117"/>
      <c r="W453" s="117"/>
      <c r="X453" s="117"/>
    </row>
    <row r="454" spans="1:25" s="45" customFormat="1">
      <c r="A454" s="117"/>
      <c r="B454" s="175"/>
      <c r="C454" s="175"/>
      <c r="D454" s="117"/>
      <c r="I454" s="54"/>
      <c r="J454" s="178" t="s">
        <v>23</v>
      </c>
      <c r="K454" s="44" t="str">
        <f>CONCATENATE("selected(data('",N452,"'),'1') &amp;&amp; ", K451)</f>
        <v>selected(data('q16204_8c'),'1') &amp;&amp; selected(data('q16206_8b'),'1') &amp;&amp; selected(data('q16206_8a'),'1') &amp;&amp; selected(data('q16202_8'),'1') &amp;&amp; selected(data('q16201'),'1')</v>
      </c>
      <c r="L454" s="174"/>
      <c r="M454" s="174"/>
      <c r="N454" s="54"/>
      <c r="O454" s="312"/>
      <c r="P454" s="117"/>
      <c r="Q454" s="117"/>
      <c r="R454" s="117"/>
      <c r="S454" s="117"/>
      <c r="T454" s="117"/>
      <c r="W454" s="117"/>
      <c r="X454" s="117"/>
    </row>
    <row r="455" spans="1:25" s="45" customFormat="1" ht="90">
      <c r="A455" s="117"/>
      <c r="B455" s="54"/>
      <c r="C455" s="54"/>
      <c r="D455" s="117"/>
      <c r="E455" s="54"/>
      <c r="F455" s="54"/>
      <c r="G455" s="191"/>
      <c r="I455" s="54"/>
      <c r="J455" s="197"/>
      <c r="K455" s="19"/>
      <c r="L455" s="19" t="s">
        <v>174</v>
      </c>
      <c r="M455" s="19" t="s">
        <v>206</v>
      </c>
      <c r="N455" s="54" t="str">
        <f>CONCATENATE("q",$I$17, "_",$I$31,"c")</f>
        <v>q16205_8c</v>
      </c>
      <c r="O455" s="312" t="str">
        <f>CONCATENATE(N455, ". ", SUBSTITUTE($E$16, "]الحيوانات[",$E$31))</f>
        <v>q16205_8c. هل الشخص الثالث الذي يرعى الجاموس هو أحد أفراد الأسرة؟</v>
      </c>
      <c r="P455" s="117" t="str">
        <f>CONCATENATE(N455, ". ", SUBSTITUTE($B$17, "[animal]",$B$31))</f>
        <v>q16205_8c. Who is the person who takes care of the  Buffaloes? Third member</v>
      </c>
      <c r="Q455" s="117"/>
      <c r="R455" s="117"/>
      <c r="S455" s="31" t="str">
        <f>CONCATENATE($K454, " &amp;&amp; ",$S$6)</f>
        <v>selected(data('q16204_8c'),'1') &amp;&amp; selected(data('q16206_8b'),'1') &amp;&amp; selected(data('q16206_8a'),'1') &amp;&amp; selected(data('q16202_8'),'1') &amp;&amp; selected(data('q16201'),'1') &amp;&amp; data('valid_overall') == 1</v>
      </c>
      <c r="T455" s="117"/>
      <c r="Y455" s="45" t="b">
        <v>1</v>
      </c>
    </row>
    <row r="456" spans="1:25" s="404" customFormat="1">
      <c r="I456" s="18"/>
      <c r="L456" s="18"/>
      <c r="O456" s="70"/>
      <c r="P456" s="30"/>
      <c r="Q456" s="30"/>
      <c r="R456" s="30"/>
      <c r="S456" s="30"/>
      <c r="T456" s="30"/>
    </row>
    <row r="457" spans="1:25" s="45" customFormat="1">
      <c r="A457" s="117"/>
      <c r="B457" s="54"/>
      <c r="C457" s="54"/>
      <c r="D457" s="117"/>
      <c r="E457" s="54"/>
      <c r="F457" s="54"/>
      <c r="G457" s="191"/>
      <c r="I457" s="54"/>
      <c r="J457" s="88" t="s">
        <v>42</v>
      </c>
      <c r="K457" s="64"/>
      <c r="L457" s="19"/>
      <c r="M457" s="64"/>
      <c r="N457" s="64"/>
      <c r="O457" s="407"/>
      <c r="P457" s="31"/>
      <c r="Q457" s="117"/>
      <c r="R457" s="117"/>
      <c r="S457" s="117"/>
      <c r="T457" s="117"/>
    </row>
    <row r="458" spans="1:25" s="45" customFormat="1">
      <c r="A458" s="117"/>
      <c r="B458" s="54"/>
      <c r="C458" s="54"/>
      <c r="D458" s="117"/>
      <c r="E458" s="54"/>
      <c r="F458" s="54"/>
      <c r="G458" s="191"/>
      <c r="I458" s="54"/>
      <c r="J458" s="88" t="s">
        <v>23</v>
      </c>
      <c r="K458" s="64" t="str">
        <f>K420</f>
        <v>selected(data('q16202_8'),'1') &amp;&amp; selected(data('q16201'),'1')</v>
      </c>
      <c r="L458" s="19"/>
      <c r="M458" s="64"/>
      <c r="N458" s="64"/>
      <c r="O458" s="407"/>
      <c r="P458" s="31"/>
      <c r="Q458" s="117"/>
      <c r="R458" s="117"/>
      <c r="S458" s="117"/>
      <c r="T458" s="117"/>
    </row>
    <row r="459" spans="1:25" s="45" customFormat="1">
      <c r="A459" s="117"/>
      <c r="B459" s="54"/>
      <c r="C459" s="54"/>
      <c r="D459" s="117"/>
      <c r="E459" s="54"/>
      <c r="F459" s="54"/>
      <c r="G459" s="191"/>
      <c r="I459" s="54"/>
      <c r="J459" s="405" t="s">
        <v>20</v>
      </c>
      <c r="K459" s="64"/>
      <c r="L459" s="19"/>
      <c r="M459" s="64"/>
      <c r="N459" s="64"/>
      <c r="O459" s="407"/>
      <c r="P459" s="31"/>
      <c r="Q459" s="117"/>
      <c r="R459" s="117"/>
      <c r="S459" s="117"/>
      <c r="T459" s="117"/>
    </row>
    <row r="460" spans="1:25" s="45" customFormat="1">
      <c r="A460" s="117"/>
      <c r="B460" s="54"/>
      <c r="C460" s="54"/>
      <c r="D460" s="117"/>
      <c r="E460" s="54"/>
      <c r="F460" s="54"/>
      <c r="G460" s="191"/>
      <c r="I460" s="54"/>
      <c r="J460" s="66" t="s">
        <v>23</v>
      </c>
      <c r="K460" s="64" t="str">
        <f>K454</f>
        <v>selected(data('q16204_8c'),'1') &amp;&amp; selected(data('q16206_8b'),'1') &amp;&amp; selected(data('q16206_8a'),'1') &amp;&amp; selected(data('q16202_8'),'1') &amp;&amp; selected(data('q16201'),'1')</v>
      </c>
      <c r="L460" s="19"/>
      <c r="M460" s="64"/>
      <c r="N460" s="64"/>
      <c r="O460" s="407"/>
      <c r="P460" s="31"/>
      <c r="Q460" s="117"/>
      <c r="R460" s="117"/>
      <c r="S460" s="117"/>
      <c r="T460" s="117"/>
    </row>
    <row r="461" spans="1:25" s="45" customFormat="1" ht="255">
      <c r="A461" s="117"/>
      <c r="B461" s="175"/>
      <c r="C461" s="175"/>
      <c r="D461" s="117"/>
      <c r="I461" s="54"/>
      <c r="J461" s="176"/>
      <c r="K461" s="54"/>
      <c r="L461" s="174" t="s">
        <v>413</v>
      </c>
      <c r="M461" s="174" t="str">
        <f>CONCATENATE(M455,"_line_",N455)</f>
        <v>roster_line_q16205_8c</v>
      </c>
      <c r="N461" s="174" t="str">
        <f>CONCATENATE(N455,"_1")</f>
        <v>q16205_8c_1</v>
      </c>
      <c r="O461" s="312"/>
      <c r="P461" s="117"/>
      <c r="Q461" s="117"/>
      <c r="R461" s="117"/>
      <c r="S461" s="117" t="str">
        <f>S455</f>
        <v>selected(data('q16204_8c'),'1') &amp;&amp; selected(data('q16206_8b'),'1') &amp;&amp; selected(data('q16206_8a'),'1') &amp;&amp; selected(data('q16202_8'),'1') &amp;&amp; selected(data('q16201'),'1') &amp;&amp; data('valid_overall') == 1</v>
      </c>
      <c r="T461" s="117"/>
      <c r="V461" s="31" t="str">
        <f>CONCATENATE(" (((data('",N430,"') != data('",N446,"')) || selected(data('",N432,"'), '2')   || selected(data('",N422,"'), '2')  || selected(data('",N437,"'), '2')) &amp;&amp; ((data('",N446,"') != data('",N461,"'))  || selected(data('",N432,"'), '2') || selected(data('",N448,"'), '2')   || selected(data('",N437,"'), '2')  || selected(data('",N452,"'), '2'))   &amp;&amp; ((data('",N430,"') != data('",N461,"'))  || selected(data('",N432,"'), '2')|| selected(data('",N452,"'), '2')   || selected(data('",N422,"'), '2')  || selected(data('",N452,"'), '2'))  )  || selected(data('",N418,"'), '2') || selected(data('",$N$6,"'),'2') || data('valid_overall') == 0")</f>
        <v xml:space="preserve"> (((data('q16205_8a_1') != data('q16205_8b_1')) || selected(data('q16206_8a'), '2')   || selected(data('q16204_8a'), '2')  || selected(data('q16204_8b'), '2')) &amp;&amp; ((data('q16205_8b_1') != data('q16205_8c_1'))  || selected(data('q16206_8a'), '2') || selected(data('q16206_8b'), '2')   || selected(data('q16204_8b'), '2')  || selected(data('q16204_8c'), '2'))   &amp;&amp; ((data('q16205_8a_1') != data('q16205_8c_1'))  || selected(data('q16206_8a'), '2')|| selected(data('q16204_8c'), '2')   || selected(data('q16204_8a'), '2')  || selected(data('q16204_8c'), '2'))  )  || selected(data('q16202_8'), '2') || selected(data('q16201'),'2') || data('valid_overall') == 0</v>
      </c>
      <c r="W461" s="31" t="s">
        <v>1033</v>
      </c>
      <c r="X461" s="31" t="s">
        <v>555</v>
      </c>
      <c r="Y461" s="45" t="b">
        <v>1</v>
      </c>
    </row>
    <row r="462" spans="1:25" s="45" customFormat="1">
      <c r="A462" s="117"/>
      <c r="B462" s="54"/>
      <c r="C462" s="54"/>
      <c r="D462" s="117"/>
      <c r="E462" s="54"/>
      <c r="F462" s="54"/>
      <c r="G462" s="191"/>
      <c r="I462" s="54"/>
      <c r="J462" s="66" t="s">
        <v>24</v>
      </c>
      <c r="K462" s="64"/>
      <c r="L462" s="19"/>
      <c r="M462" s="64"/>
      <c r="N462" s="64"/>
      <c r="O462" s="407"/>
      <c r="P462" s="31"/>
      <c r="Q462" s="117"/>
      <c r="R462" s="117"/>
      <c r="S462" s="117"/>
      <c r="T462" s="117"/>
    </row>
    <row r="463" spans="1:25" s="45" customFormat="1" ht="60">
      <c r="A463" s="117"/>
      <c r="B463" s="117"/>
      <c r="C463" s="117"/>
      <c r="D463" s="117"/>
      <c r="E463" s="118"/>
      <c r="F463" s="118"/>
      <c r="G463" s="191"/>
      <c r="I463" s="54"/>
      <c r="J463" s="192"/>
      <c r="L463" s="54" t="s">
        <v>18</v>
      </c>
      <c r="M463" s="45" t="s">
        <v>17</v>
      </c>
      <c r="N463" s="45" t="str">
        <f>CONCATENATE("q",$I$18, "_",$I$31)</f>
        <v>q16207_8</v>
      </c>
      <c r="O463" s="312" t="str">
        <f>CONCATENATE(N463, ". ", SUBSTITUTE($E$18, "]الحيوانات[",$E$31))</f>
        <v>q16207_8. خلال الـ12 شهر الماضية، هل قمت استهلكت أي من الجاموس؟</v>
      </c>
      <c r="P463" s="117" t="str">
        <f>CONCATENATE(N463, ". ", SUBSTITUTE($B$18, "[animal]",$B$31))</f>
        <v>q16207_8. During the past 12 months have you consumed any of the  Buffaloes?</v>
      </c>
      <c r="Q463" s="117"/>
      <c r="R463" s="117"/>
      <c r="S463" s="31" t="str">
        <f>CONCATENATE($K420, " &amp;&amp; ", $S$6)</f>
        <v>selected(data('q16202_8'),'1') &amp;&amp; selected(data('q16201'),'1') &amp;&amp; data('valid_overall') == 1</v>
      </c>
      <c r="T463" s="117"/>
      <c r="Y463" s="45" t="b">
        <v>1</v>
      </c>
    </row>
    <row r="464" spans="1:25" s="45" customFormat="1">
      <c r="A464" s="117"/>
      <c r="B464" s="117"/>
      <c r="C464" s="117"/>
      <c r="D464" s="117"/>
      <c r="E464" s="118"/>
      <c r="F464" s="118"/>
      <c r="G464" s="191"/>
      <c r="I464" s="54"/>
      <c r="J464" s="44" t="s">
        <v>21</v>
      </c>
      <c r="L464" s="54"/>
      <c r="O464" s="312"/>
      <c r="P464" s="117"/>
      <c r="Q464" s="117"/>
      <c r="R464" s="117"/>
      <c r="S464" s="31"/>
      <c r="T464" s="117"/>
    </row>
    <row r="465" spans="1:25" s="45" customFormat="1" ht="45">
      <c r="A465" s="117"/>
      <c r="B465" s="117"/>
      <c r="C465" s="117"/>
      <c r="D465" s="117"/>
      <c r="E465" s="118"/>
      <c r="F465" s="118"/>
      <c r="G465" s="191"/>
      <c r="I465" s="54"/>
      <c r="J465" s="192"/>
      <c r="L465" s="54" t="s">
        <v>18</v>
      </c>
      <c r="M465" s="45" t="s">
        <v>17</v>
      </c>
      <c r="N465" s="45" t="str">
        <f>CONCATENATE("q",$I$19, "_",$I$31)</f>
        <v>q16208_8</v>
      </c>
      <c r="O465" s="312" t="str">
        <f>CONCATENATE(N465, ". ", SUBSTITUTE($E$19, "]الحيوانات[",$E$31))</f>
        <v>q16208_8. خلال الـ12 شهر الماضية، هل قمت ببيع أي من الجاموس؟</v>
      </c>
      <c r="P465" s="117" t="str">
        <f>CONCATENATE(N465, ". ", SUBSTITUTE($B$19, "[animal]",$B$31))</f>
        <v>q16208_8. During the past 12 months have you sold any of the  Buffaloes?</v>
      </c>
      <c r="Q465" s="117"/>
      <c r="R465" s="117"/>
      <c r="S465" s="31" t="str">
        <f>CONCATENATE($K420, " &amp;&amp; ", $S$6)</f>
        <v>selected(data('q16202_8'),'1') &amp;&amp; selected(data('q16201'),'1') &amp;&amp; data('valid_overall') == 1</v>
      </c>
      <c r="T465" s="117"/>
      <c r="Y465" s="45" t="b">
        <v>1</v>
      </c>
    </row>
    <row r="466" spans="1:25" s="45" customFormat="1">
      <c r="A466" s="117"/>
      <c r="B466" s="117"/>
      <c r="C466" s="117"/>
      <c r="D466" s="117"/>
      <c r="E466" s="118"/>
      <c r="F466" s="118"/>
      <c r="G466" s="191"/>
      <c r="I466" s="54"/>
      <c r="J466" s="178" t="s">
        <v>24</v>
      </c>
      <c r="L466" s="54"/>
      <c r="O466" s="312"/>
      <c r="P466" s="117"/>
      <c r="Q466" s="117"/>
      <c r="R466" s="117"/>
      <c r="S466" s="31"/>
      <c r="T466" s="117"/>
    </row>
    <row r="467" spans="1:25" s="45" customFormat="1">
      <c r="B467" s="117"/>
      <c r="C467" s="117"/>
      <c r="D467" s="54"/>
      <c r="E467" s="117"/>
      <c r="F467" s="117"/>
      <c r="G467" s="54"/>
      <c r="H467" s="191"/>
      <c r="I467" s="54"/>
      <c r="J467" s="178" t="s">
        <v>23</v>
      </c>
      <c r="K467" s="45" t="str">
        <f>CONCATENATE("selected(data('",N465,"'),'1') &amp;&amp; ",K458)</f>
        <v>selected(data('q16208_8'),'1') &amp;&amp; selected(data('q16202_8'),'1') &amp;&amp; selected(data('q16201'),'1')</v>
      </c>
      <c r="L467" s="54"/>
      <c r="O467" s="312"/>
      <c r="P467" s="117"/>
      <c r="Q467" s="117"/>
      <c r="R467" s="117"/>
      <c r="S467" s="117"/>
      <c r="T467" s="117"/>
    </row>
    <row r="468" spans="1:25" s="45" customFormat="1" ht="60">
      <c r="B468" s="117"/>
      <c r="C468" s="117"/>
      <c r="D468" s="54"/>
      <c r="E468" s="117"/>
      <c r="F468" s="117"/>
      <c r="G468" s="54"/>
      <c r="H468" s="191"/>
      <c r="I468" s="54"/>
      <c r="J468" s="193"/>
      <c r="L468" s="54" t="s">
        <v>19</v>
      </c>
      <c r="N468" s="45" t="str">
        <f>CONCATENATE("q",$I$20, "_",$I$31)</f>
        <v>q16209_8</v>
      </c>
      <c r="O468" s="312" t="str">
        <f>CONCATENATE(N468, ". ", SUBSTITUTE($E$20,  "]الحيوانات[",$E$31))</f>
        <v>q16209_8. كم عدد الجاموس  الذى تم بيعه؟</v>
      </c>
      <c r="P468" s="190" t="str">
        <f>CONCATENATE(N468, ". ", SUBSTITUTE($B$20, "[animal]",$B$31))</f>
        <v>q16209_8. How many  Buffaloes have been sold?</v>
      </c>
      <c r="Q468" s="31" t="str">
        <f>$F$20</f>
        <v xml:space="preserve"> في حالة لا أعرف سجل  98</v>
      </c>
      <c r="R468" s="31" t="str">
        <f>$C$20</f>
        <v>*If don't know, write 98</v>
      </c>
      <c r="S468" s="31" t="str">
        <f>CONCATENATE($K467," &amp;&amp; ", $S$6)</f>
        <v>selected(data('q16208_8'),'1') &amp;&amp; selected(data('q16202_8'),'1') &amp;&amp; selected(data('q16201'),'1') &amp;&amp; data('valid_overall') == 1</v>
      </c>
      <c r="T468" s="31"/>
      <c r="Y468" s="45" t="b">
        <v>1</v>
      </c>
    </row>
    <row r="469" spans="1:25" s="45" customFormat="1" ht="60">
      <c r="B469" s="117"/>
      <c r="C469" s="117"/>
      <c r="D469" s="54"/>
      <c r="E469" s="117"/>
      <c r="F469" s="117"/>
      <c r="G469" s="54"/>
      <c r="H469" s="191"/>
      <c r="I469" s="54"/>
      <c r="J469" s="193"/>
      <c r="L469" s="54" t="s">
        <v>19</v>
      </c>
      <c r="N469" s="45" t="str">
        <f>CONCATENATE("q",$I$21, "_",$I$31)</f>
        <v>q16210_8</v>
      </c>
      <c r="O469" s="312" t="str">
        <f>CONCATENATE(N469, ". ", SUBSTITUTE($E$21,  "]الحيوانات[",$E$31))</f>
        <v xml:space="preserve">q16210_8. ما  قيمة البيع الإجمالية من الجاموس  ؟ (بالجنيه)
</v>
      </c>
      <c r="P469" s="190" t="str">
        <f>CONCATENATE(N469, ". ", SUBSTITUTE($B$21, "[animal]",$B$31))</f>
        <v>q16210_8. What was the total value of the sales of  Buffaloes ? (in pounds)</v>
      </c>
      <c r="Q469" s="31" t="str">
        <f>$F$21</f>
        <v>في حالة لا أعرف سجل 999998</v>
      </c>
      <c r="R469" s="31" t="str">
        <f>$C$21</f>
        <v xml:space="preserve"> *If don't know, write 999998</v>
      </c>
      <c r="S469" s="31" t="str">
        <f>CONCATENATE($K467," &amp;&amp; ", $S$6)</f>
        <v>selected(data('q16208_8'),'1') &amp;&amp; selected(data('q16202_8'),'1') &amp;&amp; selected(data('q16201'),'1') &amp;&amp; data('valid_overall') == 1</v>
      </c>
      <c r="T469" s="31"/>
      <c r="Y469" s="45" t="b">
        <v>1</v>
      </c>
    </row>
    <row r="470" spans="1:25" s="45" customFormat="1">
      <c r="B470" s="117"/>
      <c r="C470" s="117"/>
      <c r="E470" s="117"/>
      <c r="F470" s="117"/>
      <c r="H470" s="191"/>
      <c r="I470" s="54"/>
      <c r="J470" s="178" t="s">
        <v>42</v>
      </c>
      <c r="L470" s="54"/>
      <c r="O470" s="312"/>
      <c r="P470" s="117"/>
      <c r="Q470" s="117"/>
      <c r="R470" s="117"/>
      <c r="S470" s="117"/>
      <c r="T470" s="117"/>
    </row>
    <row r="471" spans="1:25" s="249" customFormat="1">
      <c r="B471" s="250"/>
      <c r="C471" s="250"/>
      <c r="E471" s="250"/>
      <c r="F471" s="250"/>
      <c r="H471" s="251" t="s">
        <v>792</v>
      </c>
      <c r="I471" s="253"/>
      <c r="J471" s="252"/>
      <c r="L471" s="253"/>
      <c r="O471" s="330"/>
      <c r="P471" s="250"/>
      <c r="Q471" s="250"/>
      <c r="R471" s="250"/>
      <c r="S471" s="250"/>
      <c r="T471" s="250"/>
      <c r="W471" s="45"/>
    </row>
    <row r="472" spans="1:25" s="31" customFormat="1">
      <c r="I472" s="19"/>
      <c r="J472" s="88" t="s">
        <v>23</v>
      </c>
      <c r="K472" s="64" t="str">
        <f>CONCATENATE("selected(data('",$N$6,"'),'1')")</f>
        <v>selected(data('q16201'),'1')</v>
      </c>
      <c r="O472" s="407"/>
    </row>
    <row r="473" spans="1:25" s="45" customFormat="1" ht="60">
      <c r="B473" s="117"/>
      <c r="C473" s="117"/>
      <c r="D473" s="117"/>
      <c r="E473" s="117"/>
      <c r="F473" s="117"/>
      <c r="G473" s="118"/>
      <c r="I473" s="54"/>
      <c r="L473" s="54" t="s">
        <v>18</v>
      </c>
      <c r="M473" s="45" t="s">
        <v>17</v>
      </c>
      <c r="N473" s="45" t="str">
        <f>CONCATENATE("q",$I$8, "_",$I$32)</f>
        <v>q16202_9</v>
      </c>
      <c r="O473" s="312" t="str">
        <f>CONCATENATE(SUBSTITUTE(N473, "q",""), ". ", SUBSTITUTE($E$8, "]الحيوانات[",$E$32))</f>
        <v>16202_9. هل تمتلك الأسرة أو أي من أفرادها أي الحيوانات الأخرى؟</v>
      </c>
      <c r="P473" s="190" t="str">
        <f>CONCATENATE(N473, ". ", SUBSTITUTE($B$8, "[animal]",$B$32))</f>
        <v>q16202_9. Does any member of your household currently have any  Other animals?</v>
      </c>
      <c r="Q473" s="117"/>
      <c r="R473" s="117"/>
      <c r="S473" s="117" t="str">
        <f>CONCATENATE($K472, " &amp;&amp; ", $S$6)</f>
        <v>selected(data('q16201'),'1') &amp;&amp; data('valid_overall') == 1</v>
      </c>
      <c r="T473" s="117"/>
      <c r="W473" s="117"/>
      <c r="X473" s="117"/>
      <c r="Y473" s="45" t="b">
        <v>1</v>
      </c>
    </row>
    <row r="474" spans="1:25" s="45" customFormat="1">
      <c r="B474" s="117"/>
      <c r="C474" s="117"/>
      <c r="D474" s="117"/>
      <c r="E474" s="117"/>
      <c r="F474" s="117"/>
      <c r="G474" s="118"/>
      <c r="I474" s="54"/>
      <c r="J474" s="178" t="s">
        <v>24</v>
      </c>
      <c r="L474" s="54"/>
      <c r="O474" s="312"/>
      <c r="P474" s="190"/>
      <c r="Q474" s="117"/>
      <c r="R474" s="117"/>
      <c r="S474" s="117"/>
      <c r="T474" s="117"/>
      <c r="W474" s="117"/>
      <c r="X474" s="117"/>
    </row>
    <row r="475" spans="1:25" s="45" customFormat="1">
      <c r="I475" s="15"/>
      <c r="J475" s="178" t="s">
        <v>23</v>
      </c>
      <c r="K475" s="45" t="str">
        <f>CONCATENATE("selected(data('",N473,"'),'1') &amp;&amp; ", K472)</f>
        <v>selected(data('q16202_9'),'1') &amp;&amp; selected(data('q16201'),'1')</v>
      </c>
      <c r="L475" s="54"/>
      <c r="O475" s="312"/>
      <c r="P475" s="117"/>
      <c r="Q475" s="117"/>
      <c r="R475" s="117"/>
      <c r="S475" s="117"/>
      <c r="T475" s="117"/>
    </row>
    <row r="476" spans="1:25" s="45" customFormat="1" ht="60">
      <c r="B476" s="117"/>
      <c r="C476" s="117"/>
      <c r="D476" s="54"/>
      <c r="E476" s="117"/>
      <c r="F476" s="117"/>
      <c r="G476" s="54"/>
      <c r="H476" s="191"/>
      <c r="I476" s="54"/>
      <c r="J476" s="178"/>
      <c r="L476" s="54" t="s">
        <v>19</v>
      </c>
      <c r="N476" s="45" t="str">
        <f>CONCATENATE("q",$I$9, "_",$I$32)</f>
        <v>q16203_9</v>
      </c>
      <c r="O476" s="312" t="str">
        <f>CONCATENATE(SUBSTITUTE(N476, "q",""), ". ", SUBSTITUTE($E$9, "]الحيوانات[",$E$32))</f>
        <v>16203_9. كم عدد الحيوانات الأخرى التي تملكها الأسرة خلص أو مشاركة؟</v>
      </c>
      <c r="P476" s="117" t="str">
        <f>CONCATENATE(N476, ". ", SUBSTITUTE($B$9, "[animal]",$B$32))</f>
        <v>q16203_9. How many   Other animals does your household currently own entirely or with sharing?</v>
      </c>
      <c r="Q476" s="117"/>
      <c r="R476" s="117"/>
      <c r="S476" s="31" t="str">
        <f>CONCATENATE($K475, " &amp;&amp; ", $S$6)</f>
        <v>selected(data('q16202_9'),'1') &amp;&amp; selected(data('q16201'),'1') &amp;&amp; data('valid_overall') == 1</v>
      </c>
      <c r="T476" s="117"/>
      <c r="Y476" s="45" t="b">
        <v>1</v>
      </c>
    </row>
    <row r="477" spans="1:25" s="45" customFormat="1" ht="75">
      <c r="B477" s="117"/>
      <c r="C477" s="117"/>
      <c r="D477" s="117"/>
      <c r="E477" s="117"/>
      <c r="F477" s="117"/>
      <c r="G477" s="54"/>
      <c r="H477" s="191"/>
      <c r="I477" s="54"/>
      <c r="J477" s="159"/>
      <c r="K477" s="19"/>
      <c r="L477" s="54" t="s">
        <v>18</v>
      </c>
      <c r="M477" s="19" t="s">
        <v>17</v>
      </c>
      <c r="N477" s="54" t="str">
        <f>CONCATENATE("q",$I$10, "_",$I$32,"a")</f>
        <v>q16204_9a</v>
      </c>
      <c r="O477" s="312" t="str">
        <f>CONCATENATE(SUBSTITUTE(N477, "q",""), ". ", SUBSTITUTE($E$10, "]الحيوانات[",$E$32))</f>
        <v>16204_9a. هل الشخص الرئيسي الذي يرعى الحيوانات الأخرى هو أحد أفراد الأسرة؟</v>
      </c>
      <c r="P477" s="117" t="str">
        <f>CONCATENATE(N477, ". ", SUBSTITUTE($B$10, "[animal]",$B$32))</f>
        <v>q16204_9a. Is the primary person who takes care of the  Other animals a member of the household?</v>
      </c>
      <c r="Q477" s="117"/>
      <c r="R477" s="117"/>
      <c r="S477" s="31" t="str">
        <f>CONCATENATE($K475, " &amp;&amp; ", $S$6)</f>
        <v>selected(data('q16202_9'),'1') &amp;&amp; selected(data('q16201'),'1') &amp;&amp; data('valid_overall') == 1</v>
      </c>
      <c r="T477" s="117"/>
      <c r="Y477" s="45" t="b">
        <v>1</v>
      </c>
    </row>
    <row r="478" spans="1:25" s="45" customFormat="1">
      <c r="B478" s="117"/>
      <c r="C478" s="117"/>
      <c r="D478" s="117"/>
      <c r="E478" s="117"/>
      <c r="F478" s="117"/>
      <c r="G478" s="54"/>
      <c r="H478" s="191"/>
      <c r="I478" s="54"/>
      <c r="J478" s="88" t="s">
        <v>24</v>
      </c>
      <c r="K478" s="19"/>
      <c r="L478" s="54"/>
      <c r="M478" s="19"/>
      <c r="N478" s="54"/>
      <c r="O478" s="312"/>
      <c r="P478" s="117"/>
      <c r="Q478" s="117"/>
      <c r="R478" s="117"/>
      <c r="S478" s="31"/>
      <c r="T478" s="117"/>
    </row>
    <row r="479" spans="1:25" s="45" customFormat="1">
      <c r="B479" s="117"/>
      <c r="C479" s="117"/>
      <c r="D479" s="117"/>
      <c r="E479" s="117"/>
      <c r="F479" s="117"/>
      <c r="G479" s="54"/>
      <c r="H479" s="191"/>
      <c r="I479" s="54"/>
      <c r="J479" s="178" t="s">
        <v>23</v>
      </c>
      <c r="K479" s="44" t="str">
        <f>CONCATENATE("selected(data('",N477,"'),'1') &amp;&amp; ", K475)</f>
        <v>selected(data('q16204_9a'),'1') &amp;&amp; selected(data('q16202_9'),'1') &amp;&amp; selected(data('q16201'),'1')</v>
      </c>
      <c r="L479" s="54"/>
      <c r="M479" s="19"/>
      <c r="N479" s="54"/>
      <c r="O479" s="312"/>
      <c r="P479" s="117"/>
      <c r="Q479" s="117"/>
      <c r="R479" s="117"/>
      <c r="S479" s="117"/>
      <c r="T479" s="117"/>
    </row>
    <row r="480" spans="1:25" s="45" customFormat="1" ht="60">
      <c r="A480" s="117"/>
      <c r="B480" s="54"/>
      <c r="C480" s="54"/>
      <c r="D480" s="117"/>
      <c r="E480" s="54"/>
      <c r="F480" s="54"/>
      <c r="G480" s="191"/>
      <c r="I480" s="54"/>
      <c r="J480" s="159"/>
      <c r="K480" s="19"/>
      <c r="L480" s="19" t="s">
        <v>174</v>
      </c>
      <c r="M480" s="19" t="s">
        <v>206</v>
      </c>
      <c r="N480" s="54" t="str">
        <f>CONCATENATE("q",$I$11, "_",$I$32,"a")</f>
        <v>q16205_9a</v>
      </c>
      <c r="O480" s="312" t="str">
        <f>CONCATENATE(SUBSTITUTE(N480, "q",""),, ". ", SUBSTITUTE($E$11, "]الحيوانات[",$E$32))</f>
        <v>16205_9a. من الشخص المسؤول عن رعاية الحيوانات الأخرى في الأسرة؟ أول فرد</v>
      </c>
      <c r="P480" s="117" t="str">
        <f>CONCATENATE(N480, ". ", SUBSTITUTE($B$11, "[animal]",$B$32))</f>
        <v>q16205_9a. Who is the primary person who takes care of the  Other animals? First member</v>
      </c>
      <c r="Q480" s="117"/>
      <c r="R480" s="117"/>
      <c r="S480" s="31" t="str">
        <f>CONCATENATE($K479, " &amp;&amp; ", $S$6)</f>
        <v>selected(data('q16204_9a'),'1') &amp;&amp; selected(data('q16202_9'),'1') &amp;&amp; selected(data('q16201'),'1') &amp;&amp; data('valid_overall') == 1</v>
      </c>
      <c r="T480" s="117"/>
      <c r="Y480" s="45" t="b">
        <v>1</v>
      </c>
    </row>
    <row r="481" spans="1:25" s="45" customFormat="1">
      <c r="A481" s="117"/>
      <c r="B481" s="54"/>
      <c r="C481" s="54"/>
      <c r="D481" s="117"/>
      <c r="E481" s="54"/>
      <c r="F481" s="54"/>
      <c r="G481" s="191"/>
      <c r="I481" s="54"/>
      <c r="J481" s="178" t="s">
        <v>24</v>
      </c>
      <c r="K481" s="19"/>
      <c r="L481" s="19"/>
      <c r="M481" s="19"/>
      <c r="N481" s="54"/>
      <c r="O481" s="312"/>
      <c r="P481" s="117"/>
      <c r="Q481" s="117"/>
      <c r="R481" s="117"/>
      <c r="S481" s="31"/>
      <c r="T481" s="117"/>
    </row>
    <row r="482" spans="1:25" s="45" customFormat="1">
      <c r="A482" s="117"/>
      <c r="B482" s="175"/>
      <c r="C482" s="175"/>
      <c r="D482" s="117"/>
      <c r="I482" s="54"/>
      <c r="J482" s="178" t="s">
        <v>23</v>
      </c>
      <c r="K482" s="54" t="str">
        <f>K475</f>
        <v>selected(data('q16202_9'),'1') &amp;&amp; selected(data('q16201'),'1')</v>
      </c>
      <c r="L482" s="174"/>
      <c r="M482" s="174"/>
      <c r="N482" s="174"/>
      <c r="O482" s="312"/>
      <c r="P482" s="117"/>
      <c r="Q482" s="117"/>
      <c r="R482" s="117"/>
      <c r="S482" s="117"/>
      <c r="T482" s="117"/>
      <c r="W482" s="117"/>
      <c r="X482" s="117"/>
    </row>
    <row r="483" spans="1:25" s="45" customFormat="1">
      <c r="A483" s="117"/>
      <c r="B483" s="175"/>
      <c r="C483" s="175"/>
      <c r="D483" s="117"/>
      <c r="I483" s="54"/>
      <c r="J483" s="44" t="s">
        <v>20</v>
      </c>
      <c r="K483" s="54"/>
      <c r="L483" s="174"/>
      <c r="M483" s="174"/>
      <c r="N483" s="174"/>
      <c r="O483" s="312"/>
      <c r="P483" s="117"/>
      <c r="Q483" s="117"/>
      <c r="R483" s="117"/>
      <c r="S483" s="117"/>
      <c r="T483" s="117"/>
      <c r="W483" s="117"/>
      <c r="X483" s="117"/>
    </row>
    <row r="484" spans="1:25" s="45" customFormat="1">
      <c r="A484" s="117"/>
      <c r="B484" s="175"/>
      <c r="C484" s="175"/>
      <c r="D484" s="117"/>
      <c r="I484" s="54"/>
      <c r="J484" s="176" t="s">
        <v>23</v>
      </c>
      <c r="K484" s="54" t="str">
        <f>K479</f>
        <v>selected(data('q16204_9a'),'1') &amp;&amp; selected(data('q16202_9'),'1') &amp;&amp; selected(data('q16201'),'1')</v>
      </c>
      <c r="L484" s="174"/>
      <c r="M484" s="174"/>
      <c r="N484" s="174"/>
      <c r="O484" s="312"/>
      <c r="P484" s="117"/>
      <c r="Q484" s="117"/>
      <c r="R484" s="117"/>
      <c r="S484" s="117"/>
      <c r="T484" s="117"/>
      <c r="W484" s="117"/>
      <c r="X484" s="117"/>
    </row>
    <row r="485" spans="1:25" s="45" customFormat="1">
      <c r="A485" s="117"/>
      <c r="B485" s="175"/>
      <c r="C485" s="175"/>
      <c r="D485" s="117"/>
      <c r="I485" s="54"/>
      <c r="K485" s="54"/>
      <c r="L485" s="174" t="s">
        <v>413</v>
      </c>
      <c r="M485" s="174" t="str">
        <f>CONCATENATE(M480,"_line_",N480)</f>
        <v>roster_line_q16205_9a</v>
      </c>
      <c r="N485" s="174" t="str">
        <f>CONCATENATE(N480,"_1")</f>
        <v>q16205_9a_1</v>
      </c>
      <c r="O485" s="312"/>
      <c r="P485" s="117"/>
      <c r="Q485" s="117"/>
      <c r="R485" s="117"/>
      <c r="S485" s="117" t="str">
        <f>S480</f>
        <v>selected(data('q16204_9a'),'1') &amp;&amp; selected(data('q16202_9'),'1') &amp;&amp; selected(data('q16201'),'1') &amp;&amp; data('valid_overall') == 1</v>
      </c>
      <c r="T485" s="117"/>
      <c r="W485" s="117"/>
      <c r="X485" s="117"/>
      <c r="Y485" s="45" t="b">
        <v>1</v>
      </c>
    </row>
    <row r="486" spans="1:25" s="45" customFormat="1">
      <c r="A486" s="117"/>
      <c r="B486" s="175"/>
      <c r="C486" s="175"/>
      <c r="D486" s="117"/>
      <c r="I486" s="54"/>
      <c r="J486" s="176" t="s">
        <v>24</v>
      </c>
      <c r="K486" s="54"/>
      <c r="L486" s="174"/>
      <c r="M486" s="174"/>
      <c r="N486" s="174"/>
      <c r="O486" s="312"/>
      <c r="P486" s="117"/>
      <c r="Q486" s="117"/>
      <c r="R486" s="117"/>
      <c r="S486" s="117"/>
      <c r="T486" s="117"/>
      <c r="W486" s="117"/>
      <c r="X486" s="117"/>
    </row>
    <row r="487" spans="1:25" s="45" customFormat="1" ht="45">
      <c r="A487" s="117"/>
      <c r="B487" s="175"/>
      <c r="C487" s="175"/>
      <c r="D487" s="117"/>
      <c r="I487" s="54"/>
      <c r="K487" s="54"/>
      <c r="L487" s="174" t="s">
        <v>18</v>
      </c>
      <c r="M487" s="19" t="s">
        <v>17</v>
      </c>
      <c r="N487" s="54" t="str">
        <f>CONCATENATE("q",$I$12, "_",$I$32,"a")</f>
        <v>q16206_9a</v>
      </c>
      <c r="O487" s="312" t="str">
        <f>CONCATENATE(SUBSTITUTE(N487, "q",""),, ". ", SUBSTITUTE($E$12, "]الحيوانات[",$E$32))</f>
        <v>16206_9a. هل هناك شخص آخر يرعى الحيوانات الأخرى؟</v>
      </c>
      <c r="P487" s="117" t="str">
        <f>CONCATENATE(N487, ". ", SUBSTITUTE($B$12, "[animal]",$B$32))</f>
        <v>q16206_9a. Is there another person who takes care of the  Other animals?</v>
      </c>
      <c r="Q487" s="117"/>
      <c r="R487" s="117"/>
      <c r="S487" s="31" t="str">
        <f>CONCATENATE($K482, " &amp;&amp; ", $S$6)</f>
        <v>selected(data('q16202_9'),'1') &amp;&amp; selected(data('q16201'),'1') &amp;&amp; data('valid_overall') == 1</v>
      </c>
      <c r="T487" s="117"/>
      <c r="W487" s="117"/>
      <c r="X487" s="117"/>
      <c r="Y487" s="45" t="b">
        <v>1</v>
      </c>
    </row>
    <row r="488" spans="1:25" s="45" customFormat="1">
      <c r="A488" s="117"/>
      <c r="B488" s="175"/>
      <c r="C488" s="175"/>
      <c r="D488" s="117"/>
      <c r="I488" s="54"/>
      <c r="J488" s="45" t="s">
        <v>21</v>
      </c>
      <c r="K488" s="54"/>
      <c r="L488" s="174"/>
      <c r="M488" s="19"/>
      <c r="N488" s="54"/>
      <c r="O488" s="312"/>
      <c r="P488" s="117"/>
      <c r="Q488" s="117"/>
      <c r="R488" s="117"/>
      <c r="S488" s="31"/>
      <c r="T488" s="117"/>
      <c r="W488" s="117"/>
      <c r="X488" s="117"/>
    </row>
    <row r="489" spans="1:25" s="45" customFormat="1">
      <c r="A489" s="117"/>
      <c r="B489" s="175"/>
      <c r="C489" s="175"/>
      <c r="D489" s="117"/>
      <c r="I489" s="54"/>
      <c r="J489" s="178" t="s">
        <v>24</v>
      </c>
      <c r="K489" s="54"/>
      <c r="L489" s="174"/>
      <c r="M489" s="19"/>
      <c r="N489" s="54"/>
      <c r="O489" s="312"/>
      <c r="P489" s="117"/>
      <c r="Q489" s="117"/>
      <c r="R489" s="117"/>
      <c r="S489" s="31"/>
      <c r="T489" s="117"/>
      <c r="W489" s="117"/>
      <c r="X489" s="117"/>
    </row>
    <row r="490" spans="1:25" s="45" customFormat="1">
      <c r="A490" s="117"/>
      <c r="B490" s="175"/>
      <c r="C490" s="175"/>
      <c r="D490" s="117"/>
      <c r="I490" s="54"/>
      <c r="J490" s="178" t="s">
        <v>23</v>
      </c>
      <c r="K490" s="44" t="str">
        <f>CONCATENATE("selected(data('",N487,"'),'1') &amp;&amp; ",K482)</f>
        <v>selected(data('q16206_9a'),'1') &amp;&amp; selected(data('q16202_9'),'1') &amp;&amp; selected(data('q16201'),'1')</v>
      </c>
      <c r="L490" s="174"/>
      <c r="M490" s="174"/>
      <c r="N490" s="54"/>
      <c r="O490" s="312"/>
      <c r="P490" s="117"/>
      <c r="Q490" s="117"/>
      <c r="R490" s="117"/>
      <c r="S490" s="117"/>
      <c r="T490" s="117"/>
      <c r="W490" s="117"/>
      <c r="X490" s="117"/>
    </row>
    <row r="491" spans="1:25" s="45" customFormat="1">
      <c r="A491" s="117"/>
      <c r="B491" s="175"/>
      <c r="C491" s="175"/>
      <c r="D491" s="117"/>
      <c r="I491" s="54"/>
      <c r="J491" s="44" t="s">
        <v>20</v>
      </c>
      <c r="K491" s="44"/>
      <c r="L491" s="174"/>
      <c r="M491" s="174"/>
      <c r="N491" s="54"/>
      <c r="O491" s="312"/>
      <c r="P491" s="117"/>
      <c r="Q491" s="117"/>
      <c r="R491" s="117"/>
      <c r="S491" s="117"/>
      <c r="T491" s="117"/>
      <c r="W491" s="117"/>
      <c r="X491" s="117"/>
    </row>
    <row r="492" spans="1:25" s="45" customFormat="1" ht="75">
      <c r="A492" s="117"/>
      <c r="B492" s="175"/>
      <c r="C492" s="175"/>
      <c r="D492" s="117"/>
      <c r="I492" s="54"/>
      <c r="K492" s="54"/>
      <c r="L492" s="174" t="s">
        <v>18</v>
      </c>
      <c r="M492" s="19" t="s">
        <v>17</v>
      </c>
      <c r="N492" s="54" t="str">
        <f>CONCATENATE("q",$I$13, "_",$I$32,"b")</f>
        <v>q16204_9b</v>
      </c>
      <c r="O492" s="312" t="str">
        <f>CONCATENATE(SUBSTITUTE(N492, "q",""),, ". ", SUBSTITUTE($E$13, "]الحيوانات[",$E$32))</f>
        <v>16204_9b. هل الشخص الثاني الذي يرعى الحيوانات الأخرى هو أحد أفراد الأسرة؟</v>
      </c>
      <c r="P492" s="117" t="str">
        <f>CONCATENATE(N492, ". ", SUBSTITUTE($B$13, "[animal]",$B$32))</f>
        <v>q16204_9b. Is the second person who takes care of the  Other animals a member of the household?</v>
      </c>
      <c r="Q492" s="117"/>
      <c r="R492" s="117"/>
      <c r="S492" s="31" t="str">
        <f>CONCATENATE($K490, " &amp;&amp; ", $S$6)</f>
        <v>selected(data('q16206_9a'),'1') &amp;&amp; selected(data('q16202_9'),'1') &amp;&amp; selected(data('q16201'),'1') &amp;&amp; data('valid_overall') == 1</v>
      </c>
      <c r="T492" s="117"/>
      <c r="W492" s="117"/>
      <c r="X492" s="117"/>
      <c r="Y492" s="45" t="b">
        <v>1</v>
      </c>
    </row>
    <row r="493" spans="1:25" s="45" customFormat="1">
      <c r="A493" s="117"/>
      <c r="B493" s="175"/>
      <c r="C493" s="175"/>
      <c r="D493" s="117"/>
      <c r="I493" s="54"/>
      <c r="J493" s="45" t="s">
        <v>21</v>
      </c>
      <c r="K493" s="54"/>
      <c r="L493" s="174"/>
      <c r="M493" s="19"/>
      <c r="N493" s="54"/>
      <c r="O493" s="312"/>
      <c r="P493" s="117"/>
      <c r="Q493" s="117"/>
      <c r="R493" s="117"/>
      <c r="S493" s="31"/>
      <c r="T493" s="117"/>
      <c r="W493" s="117"/>
      <c r="X493" s="117"/>
    </row>
    <row r="494" spans="1:25" s="45" customFormat="1">
      <c r="A494" s="117"/>
      <c r="B494" s="175"/>
      <c r="C494" s="175"/>
      <c r="D494" s="117"/>
      <c r="I494" s="54"/>
      <c r="J494" s="178" t="s">
        <v>24</v>
      </c>
      <c r="K494" s="54"/>
      <c r="L494" s="174"/>
      <c r="M494" s="19"/>
      <c r="N494" s="54"/>
      <c r="O494" s="312"/>
      <c r="P494" s="117"/>
      <c r="Q494" s="117"/>
      <c r="R494" s="117"/>
      <c r="S494" s="31"/>
      <c r="T494" s="117"/>
      <c r="W494" s="117"/>
      <c r="X494" s="117"/>
    </row>
    <row r="495" spans="1:25" s="45" customFormat="1">
      <c r="A495" s="117"/>
      <c r="B495" s="175"/>
      <c r="C495" s="175"/>
      <c r="D495" s="117"/>
      <c r="I495" s="54"/>
      <c r="J495" s="178" t="s">
        <v>23</v>
      </c>
      <c r="K495" s="44" t="str">
        <f>CONCATENATE("selected(data('",N492,"'),'1') &amp;&amp;", K490)</f>
        <v>selected(data('q16204_9b'),'1') &amp;&amp;selected(data('q16206_9a'),'1') &amp;&amp; selected(data('q16202_9'),'1') &amp;&amp; selected(data('q16201'),'1')</v>
      </c>
      <c r="L495" s="174"/>
      <c r="M495" s="174"/>
      <c r="N495" s="54"/>
      <c r="O495" s="312"/>
      <c r="P495" s="117"/>
      <c r="Q495" s="117"/>
      <c r="R495" s="117"/>
      <c r="S495" s="117"/>
      <c r="T495" s="117"/>
      <c r="W495" s="117"/>
      <c r="X495" s="117"/>
    </row>
    <row r="496" spans="1:25" s="45" customFormat="1" ht="75">
      <c r="A496" s="117"/>
      <c r="B496" s="54"/>
      <c r="C496" s="54"/>
      <c r="D496" s="117"/>
      <c r="E496" s="54"/>
      <c r="F496" s="54"/>
      <c r="G496" s="191"/>
      <c r="I496" s="54"/>
      <c r="J496" s="159"/>
      <c r="K496" s="19"/>
      <c r="L496" s="19" t="s">
        <v>174</v>
      </c>
      <c r="M496" s="19" t="s">
        <v>206</v>
      </c>
      <c r="N496" s="54" t="str">
        <f>CONCATENATE("q",$I$14, "_",$I$32,"b")</f>
        <v>q16205_9b</v>
      </c>
      <c r="O496" s="312" t="str">
        <f>CONCATENATE(SUBSTITUTE(N496, "q",""), ". ", SUBSTITUTE($E$14, "]الحيوانات[",$E$32))</f>
        <v xml:space="preserve">16205_9b. من الشخص المسؤول عن رعاية الحيوانات الأخرى في الأسرة؟ الفرد الثاني </v>
      </c>
      <c r="P496" s="117" t="str">
        <f>CONCATENATE(N496, ". ", SUBSTITUTE($B$14, "[animal]",$B$32))</f>
        <v>q16205_9b. Who is the person who takes care of the  Other animals? Second member</v>
      </c>
      <c r="Q496" s="117"/>
      <c r="R496" s="117"/>
      <c r="S496" s="31" t="str">
        <f>CONCATENATE($K495, " &amp;&amp; ", $S$6)</f>
        <v>selected(data('q16204_9b'),'1') &amp;&amp;selected(data('q16206_9a'),'1') &amp;&amp; selected(data('q16202_9'),'1') &amp;&amp; selected(data('q16201'),'1') &amp;&amp; data('valid_overall') == 1</v>
      </c>
      <c r="T496" s="117"/>
      <c r="Y496" s="45" t="b">
        <v>1</v>
      </c>
    </row>
    <row r="497" spans="1:25" s="45" customFormat="1">
      <c r="A497" s="117"/>
      <c r="B497" s="54"/>
      <c r="C497" s="54"/>
      <c r="D497" s="117"/>
      <c r="E497" s="54"/>
      <c r="F497" s="54"/>
      <c r="G497" s="191"/>
      <c r="I497" s="54"/>
      <c r="J497" s="88" t="s">
        <v>24</v>
      </c>
      <c r="K497" s="19"/>
      <c r="L497" s="19"/>
      <c r="M497" s="19"/>
      <c r="N497" s="54"/>
      <c r="O497" s="312"/>
      <c r="P497" s="117"/>
      <c r="Q497" s="117"/>
      <c r="R497" s="117"/>
      <c r="S497" s="31"/>
      <c r="T497" s="117"/>
      <c r="V497" s="31"/>
      <c r="W497" s="31"/>
      <c r="X497" s="31"/>
    </row>
    <row r="498" spans="1:25" s="45" customFormat="1">
      <c r="A498" s="117"/>
      <c r="B498" s="175"/>
      <c r="C498" s="175"/>
      <c r="D498" s="117"/>
      <c r="I498" s="54"/>
      <c r="J498" s="178" t="s">
        <v>23</v>
      </c>
      <c r="K498" s="54" t="str">
        <f>K490</f>
        <v>selected(data('q16206_9a'),'1') &amp;&amp; selected(data('q16202_9'),'1') &amp;&amp; selected(data('q16201'),'1')</v>
      </c>
      <c r="L498" s="174"/>
      <c r="M498" s="174"/>
      <c r="N498" s="174"/>
      <c r="O498" s="312"/>
      <c r="P498" s="117"/>
      <c r="Q498" s="117"/>
      <c r="R498" s="117"/>
      <c r="S498" s="117"/>
      <c r="T498" s="117"/>
      <c r="W498" s="117"/>
      <c r="X498" s="117"/>
    </row>
    <row r="499" spans="1:25" s="45" customFormat="1">
      <c r="A499" s="117"/>
      <c r="B499" s="175"/>
      <c r="C499" s="175"/>
      <c r="D499" s="117"/>
      <c r="I499" s="54"/>
      <c r="J499" s="44" t="s">
        <v>20</v>
      </c>
      <c r="K499" s="54"/>
      <c r="L499" s="174"/>
      <c r="M499" s="174"/>
      <c r="N499" s="174"/>
      <c r="O499" s="312"/>
      <c r="P499" s="117"/>
      <c r="Q499" s="117"/>
      <c r="R499" s="117"/>
      <c r="S499" s="117"/>
      <c r="T499" s="117"/>
      <c r="W499" s="117"/>
      <c r="X499" s="117"/>
    </row>
    <row r="500" spans="1:25" s="45" customFormat="1">
      <c r="A500" s="117"/>
      <c r="B500" s="175"/>
      <c r="C500" s="175"/>
      <c r="D500" s="117"/>
      <c r="I500" s="54"/>
      <c r="J500" s="176" t="s">
        <v>23</v>
      </c>
      <c r="K500" s="54" t="str">
        <f>K495</f>
        <v>selected(data('q16204_9b'),'1') &amp;&amp;selected(data('q16206_9a'),'1') &amp;&amp; selected(data('q16202_9'),'1') &amp;&amp; selected(data('q16201'),'1')</v>
      </c>
      <c r="L500" s="174"/>
      <c r="M500" s="174"/>
      <c r="N500" s="174"/>
      <c r="O500" s="312"/>
      <c r="P500" s="117"/>
      <c r="Q500" s="117"/>
      <c r="R500" s="117"/>
      <c r="S500" s="117"/>
      <c r="T500" s="117"/>
      <c r="W500" s="117"/>
      <c r="X500" s="117"/>
    </row>
    <row r="501" spans="1:25" s="45" customFormat="1" ht="105">
      <c r="A501" s="117"/>
      <c r="B501" s="175"/>
      <c r="C501" s="175"/>
      <c r="D501" s="117"/>
      <c r="I501" s="54"/>
      <c r="J501" s="44"/>
      <c r="K501" s="54"/>
      <c r="L501" s="174" t="s">
        <v>413</v>
      </c>
      <c r="M501" s="174" t="str">
        <f>CONCATENATE(M496,"_line_",N496)</f>
        <v>roster_line_q16205_9b</v>
      </c>
      <c r="N501" s="174" t="str">
        <f>CONCATENATE(N496,"_1")</f>
        <v>q16205_9b_1</v>
      </c>
      <c r="O501" s="312"/>
      <c r="P501" s="117"/>
      <c r="Q501" s="117"/>
      <c r="R501" s="117"/>
      <c r="S501" s="117" t="str">
        <f>S496</f>
        <v>selected(data('q16204_9b'),'1') &amp;&amp;selected(data('q16206_9a'),'1') &amp;&amp; selected(data('q16202_9'),'1') &amp;&amp; selected(data('q16201'),'1') &amp;&amp; data('valid_overall') == 1</v>
      </c>
      <c r="T501" s="117"/>
      <c r="V501" s="31" t="str">
        <f>CONCATENATE("(data('",N485,"') != data('",N501,"')) || selected(data('",N487,"'), '2')   || selected(data('",N477,"'), '2')  || selected(data('",N492,"'), '2')  || selected(data('",N473,"'), '2') || selected(data('",$N$6,"'),'2') || data('valid_overall') == 0")</f>
        <v>(data('q16205_9a_1') != data('q16205_9b_1')) || selected(data('q16206_9a'), '2')   || selected(data('q16204_9a'), '2')  || selected(data('q16204_9b'), '2')  || selected(data('q16202_9'), '2') || selected(data('q16201'),'2') || data('valid_overall') == 0</v>
      </c>
      <c r="W501" s="31" t="s">
        <v>1033</v>
      </c>
      <c r="X501" s="31" t="s">
        <v>555</v>
      </c>
      <c r="Y501" s="45" t="b">
        <v>1</v>
      </c>
    </row>
    <row r="502" spans="1:25" s="45" customFormat="1">
      <c r="A502" s="117"/>
      <c r="B502" s="175"/>
      <c r="C502" s="175"/>
      <c r="D502" s="117"/>
      <c r="I502" s="54"/>
      <c r="J502" s="176" t="s">
        <v>24</v>
      </c>
      <c r="K502" s="54"/>
      <c r="L502" s="174"/>
      <c r="M502" s="174"/>
      <c r="N502" s="174"/>
      <c r="O502" s="312"/>
      <c r="P502" s="117"/>
      <c r="Q502" s="117"/>
      <c r="R502" s="117"/>
      <c r="S502" s="117"/>
      <c r="T502" s="117"/>
      <c r="W502" s="117"/>
      <c r="X502" s="117"/>
    </row>
    <row r="503" spans="1:25" s="45" customFormat="1" ht="60">
      <c r="A503" s="117"/>
      <c r="B503" s="175"/>
      <c r="C503" s="175"/>
      <c r="D503" s="117"/>
      <c r="I503" s="54"/>
      <c r="K503" s="54"/>
      <c r="L503" s="174" t="s">
        <v>18</v>
      </c>
      <c r="M503" s="19" t="s">
        <v>17</v>
      </c>
      <c r="N503" s="54" t="str">
        <f>CONCATENATE("q",$I$15, "_",$I$32,"b")</f>
        <v>q16206_9b</v>
      </c>
      <c r="O503" s="312" t="str">
        <f>CONCATENATE(SUBSTITUTE(N503, "q",""),, ". ", SUBSTITUTE($E$15, "]الحيوانات[",$E$32))</f>
        <v>16206_9b. هل هناك شخص آخر يرعى الحيوانات الأخرى؟</v>
      </c>
      <c r="P503" s="117" t="str">
        <f>CONCATENATE(N503, ". ", SUBSTITUTE($B$15, "[animal]",$B$32))</f>
        <v>q16206_9b. Is there another person who takes care of the  Other animals?</v>
      </c>
      <c r="Q503" s="117"/>
      <c r="R503" s="117"/>
      <c r="S503" s="31" t="str">
        <f>CONCATENATE($K498, " &amp;&amp; ", $S$6)</f>
        <v>selected(data('q16206_9a'),'1') &amp;&amp; selected(data('q16202_9'),'1') &amp;&amp; selected(data('q16201'),'1') &amp;&amp; data('valid_overall') == 1</v>
      </c>
      <c r="T503" s="117"/>
      <c r="W503" s="117"/>
      <c r="X503" s="117"/>
      <c r="Y503" s="45" t="b">
        <v>1</v>
      </c>
    </row>
    <row r="504" spans="1:25" s="45" customFormat="1">
      <c r="A504" s="117"/>
      <c r="B504" s="175"/>
      <c r="C504" s="175"/>
      <c r="D504" s="117"/>
      <c r="I504" s="54"/>
      <c r="J504" s="45" t="s">
        <v>21</v>
      </c>
      <c r="K504" s="54"/>
      <c r="L504" s="174"/>
      <c r="M504" s="19"/>
      <c r="N504" s="54"/>
      <c r="O504" s="312"/>
      <c r="P504" s="117"/>
      <c r="Q504" s="117"/>
      <c r="R504" s="117"/>
      <c r="S504" s="31"/>
      <c r="T504" s="117"/>
      <c r="W504" s="117"/>
      <c r="X504" s="117"/>
    </row>
    <row r="505" spans="1:25" s="45" customFormat="1">
      <c r="A505" s="117"/>
      <c r="B505" s="175"/>
      <c r="C505" s="175"/>
      <c r="D505" s="117"/>
      <c r="I505" s="54"/>
      <c r="J505" s="178" t="s">
        <v>24</v>
      </c>
      <c r="K505" s="54"/>
      <c r="L505" s="174"/>
      <c r="M505" s="19"/>
      <c r="N505" s="54"/>
      <c r="O505" s="312" t="s">
        <v>471</v>
      </c>
      <c r="P505" s="117"/>
      <c r="Q505" s="117"/>
      <c r="R505" s="117"/>
      <c r="S505" s="31"/>
      <c r="T505" s="117"/>
      <c r="W505" s="117"/>
      <c r="X505" s="117"/>
    </row>
    <row r="506" spans="1:25" s="45" customFormat="1">
      <c r="A506" s="117"/>
      <c r="B506" s="175"/>
      <c r="C506" s="175"/>
      <c r="D506" s="117"/>
      <c r="I506" s="54"/>
      <c r="J506" s="178" t="s">
        <v>23</v>
      </c>
      <c r="K506" s="44" t="str">
        <f>CONCATENATE("selected(data('",N503,"'),'1') &amp;&amp; ", K498)</f>
        <v>selected(data('q16206_9b'),'1') &amp;&amp; selected(data('q16206_9a'),'1') &amp;&amp; selected(data('q16202_9'),'1') &amp;&amp; selected(data('q16201'),'1')</v>
      </c>
      <c r="L506" s="174"/>
      <c r="M506" s="174"/>
      <c r="N506" s="54"/>
      <c r="O506" s="312"/>
      <c r="P506" s="117"/>
      <c r="Q506" s="117"/>
      <c r="R506" s="117"/>
      <c r="S506" s="117"/>
      <c r="T506" s="117"/>
      <c r="W506" s="117"/>
      <c r="X506" s="117"/>
    </row>
    <row r="507" spans="1:25" s="45" customFormat="1" ht="75">
      <c r="A507" s="117"/>
      <c r="B507" s="175"/>
      <c r="C507" s="175"/>
      <c r="D507" s="117"/>
      <c r="I507" s="54"/>
      <c r="K507" s="54"/>
      <c r="L507" s="174" t="s">
        <v>18</v>
      </c>
      <c r="M507" s="19" t="s">
        <v>17</v>
      </c>
      <c r="N507" s="54" t="str">
        <f>CONCATENATE("q",$I$16, "_",$I$32,"c")</f>
        <v>q16204_9c</v>
      </c>
      <c r="O507" s="312" t="str">
        <f>CONCATENATE(SUBSTITUTE(N507, "q",""),, ". ", SUBSTITUTE($E$16, "]الحيوانات[",$E$32))</f>
        <v>16204_9c. هل الشخص الثالث الذي يرعى الحيوانات الأخرى هو أحد أفراد الأسرة؟</v>
      </c>
      <c r="P507" s="117" t="str">
        <f>CONCATENATE(N507, ". ", SUBSTITUTE($B$16, "[animal]",$B$32))</f>
        <v>q16204_9c. Is the third person who takes care of the  Other animals a member of the household?</v>
      </c>
      <c r="Q507" s="117"/>
      <c r="R507" s="117"/>
      <c r="S507" s="31" t="str">
        <f>CONCATENATE($K506, " &amp;&amp; ", $S$6)</f>
        <v>selected(data('q16206_9b'),'1') &amp;&amp; selected(data('q16206_9a'),'1') &amp;&amp; selected(data('q16202_9'),'1') &amp;&amp; selected(data('q16201'),'1') &amp;&amp; data('valid_overall') == 1</v>
      </c>
      <c r="T507" s="117"/>
      <c r="W507" s="117"/>
      <c r="X507" s="117"/>
      <c r="Y507" s="45" t="b">
        <v>1</v>
      </c>
    </row>
    <row r="508" spans="1:25" s="45" customFormat="1">
      <c r="A508" s="117"/>
      <c r="B508" s="175"/>
      <c r="C508" s="175"/>
      <c r="D508" s="117"/>
      <c r="I508" s="54"/>
      <c r="J508" s="178" t="s">
        <v>24</v>
      </c>
      <c r="K508" s="54"/>
      <c r="L508" s="174"/>
      <c r="M508" s="19"/>
      <c r="N508" s="54"/>
      <c r="O508" s="312"/>
      <c r="P508" s="117"/>
      <c r="Q508" s="117"/>
      <c r="R508" s="117"/>
      <c r="S508" s="31"/>
      <c r="T508" s="117"/>
      <c r="W508" s="117"/>
      <c r="X508" s="117"/>
    </row>
    <row r="509" spans="1:25" s="45" customFormat="1">
      <c r="A509" s="117"/>
      <c r="B509" s="175"/>
      <c r="C509" s="175"/>
      <c r="D509" s="117"/>
      <c r="I509" s="54"/>
      <c r="J509" s="178" t="s">
        <v>23</v>
      </c>
      <c r="K509" s="44" t="str">
        <f>CONCATENATE("selected(data('",N507,"'),'1') &amp;&amp; ", K506)</f>
        <v>selected(data('q16204_9c'),'1') &amp;&amp; selected(data('q16206_9b'),'1') &amp;&amp; selected(data('q16206_9a'),'1') &amp;&amp; selected(data('q16202_9'),'1') &amp;&amp; selected(data('q16201'),'1')</v>
      </c>
      <c r="L509" s="174"/>
      <c r="M509" s="174"/>
      <c r="N509" s="54"/>
      <c r="O509" s="312"/>
      <c r="P509" s="117"/>
      <c r="Q509" s="117"/>
      <c r="R509" s="117"/>
      <c r="S509" s="117"/>
      <c r="T509" s="117"/>
      <c r="W509" s="117"/>
      <c r="X509" s="117"/>
    </row>
    <row r="510" spans="1:25" s="45" customFormat="1" ht="90">
      <c r="A510" s="117"/>
      <c r="B510" s="54"/>
      <c r="C510" s="54"/>
      <c r="D510" s="117"/>
      <c r="E510" s="54"/>
      <c r="F510" s="54"/>
      <c r="G510" s="191"/>
      <c r="I510" s="54"/>
      <c r="J510" s="197"/>
      <c r="K510" s="19"/>
      <c r="L510" s="19" t="s">
        <v>174</v>
      </c>
      <c r="M510" s="19" t="s">
        <v>206</v>
      </c>
      <c r="N510" s="54" t="str">
        <f>CONCATENATE("q",$I$17, "_",$I$32,"c")</f>
        <v>q16205_9c</v>
      </c>
      <c r="O510" s="312" t="str">
        <f>CONCATENATE(N510, ". ", SUBSTITUTE($E$16, "]الحيوانات[",$E$32))</f>
        <v>q16205_9c. هل الشخص الثالث الذي يرعى الحيوانات الأخرى هو أحد أفراد الأسرة؟</v>
      </c>
      <c r="P510" s="117" t="str">
        <f>CONCATENATE(N510, ". ", SUBSTITUTE($B$17, "[animal]",$B$32))</f>
        <v>q16205_9c. Who is the person who takes care of the  Other animals? Third member</v>
      </c>
      <c r="Q510" s="117"/>
      <c r="R510" s="117"/>
      <c r="S510" s="31" t="str">
        <f>CONCATENATE($K509, " &amp;&amp; ",$S$6)</f>
        <v>selected(data('q16204_9c'),'1') &amp;&amp; selected(data('q16206_9b'),'1') &amp;&amp; selected(data('q16206_9a'),'1') &amp;&amp; selected(data('q16202_9'),'1') &amp;&amp; selected(data('q16201'),'1') &amp;&amp; data('valid_overall') == 1</v>
      </c>
      <c r="T510" s="117"/>
      <c r="Y510" s="45" t="b">
        <v>1</v>
      </c>
    </row>
    <row r="511" spans="1:25" s="404" customFormat="1">
      <c r="I511" s="18"/>
      <c r="L511" s="18"/>
      <c r="O511" s="70"/>
      <c r="P511" s="30"/>
      <c r="Q511" s="30"/>
      <c r="R511" s="30"/>
      <c r="S511" s="30"/>
      <c r="T511" s="30"/>
    </row>
    <row r="512" spans="1:25" s="45" customFormat="1">
      <c r="A512" s="117"/>
      <c r="B512" s="54"/>
      <c r="C512" s="54"/>
      <c r="D512" s="117"/>
      <c r="E512" s="54"/>
      <c r="F512" s="54"/>
      <c r="G512" s="191"/>
      <c r="I512" s="54"/>
      <c r="J512" s="88" t="s">
        <v>42</v>
      </c>
      <c r="K512" s="64"/>
      <c r="L512" s="19"/>
      <c r="M512" s="64"/>
      <c r="N512" s="64"/>
      <c r="O512" s="407"/>
      <c r="P512" s="31"/>
      <c r="Q512" s="117"/>
      <c r="R512" s="117"/>
      <c r="S512" s="117"/>
      <c r="T512" s="117"/>
    </row>
    <row r="513" spans="1:25" s="45" customFormat="1">
      <c r="A513" s="117"/>
      <c r="B513" s="54"/>
      <c r="C513" s="54"/>
      <c r="D513" s="117"/>
      <c r="E513" s="54"/>
      <c r="F513" s="54"/>
      <c r="G513" s="191"/>
      <c r="I513" s="54"/>
      <c r="J513" s="88" t="s">
        <v>23</v>
      </c>
      <c r="K513" s="64" t="str">
        <f>K475</f>
        <v>selected(data('q16202_9'),'1') &amp;&amp; selected(data('q16201'),'1')</v>
      </c>
      <c r="L513" s="19"/>
      <c r="M513" s="64"/>
      <c r="N513" s="64"/>
      <c r="O513" s="407"/>
      <c r="P513" s="31"/>
      <c r="Q513" s="117"/>
      <c r="R513" s="117"/>
      <c r="S513" s="117"/>
      <c r="T513" s="117"/>
    </row>
    <row r="514" spans="1:25" s="45" customFormat="1">
      <c r="A514" s="117"/>
      <c r="B514" s="54"/>
      <c r="C514" s="54"/>
      <c r="D514" s="117"/>
      <c r="E514" s="54"/>
      <c r="F514" s="54"/>
      <c r="G514" s="191"/>
      <c r="I514" s="54"/>
      <c r="J514" s="405" t="s">
        <v>20</v>
      </c>
      <c r="K514" s="64"/>
      <c r="L514" s="19"/>
      <c r="M514" s="64"/>
      <c r="N514" s="64"/>
      <c r="O514" s="407"/>
      <c r="P514" s="31"/>
      <c r="Q514" s="117"/>
      <c r="R514" s="117"/>
      <c r="S514" s="117"/>
      <c r="T514" s="117"/>
    </row>
    <row r="515" spans="1:25" s="45" customFormat="1">
      <c r="A515" s="117"/>
      <c r="B515" s="54"/>
      <c r="C515" s="54"/>
      <c r="D515" s="117"/>
      <c r="E515" s="54"/>
      <c r="F515" s="54"/>
      <c r="G515" s="191"/>
      <c r="I515" s="54"/>
      <c r="J515" s="66" t="s">
        <v>23</v>
      </c>
      <c r="K515" s="64" t="str">
        <f>K509</f>
        <v>selected(data('q16204_9c'),'1') &amp;&amp; selected(data('q16206_9b'),'1') &amp;&amp; selected(data('q16206_9a'),'1') &amp;&amp; selected(data('q16202_9'),'1') &amp;&amp; selected(data('q16201'),'1')</v>
      </c>
      <c r="L515" s="19"/>
      <c r="M515" s="64"/>
      <c r="N515" s="64"/>
      <c r="O515" s="407"/>
      <c r="P515" s="31"/>
      <c r="Q515" s="117"/>
      <c r="R515" s="117"/>
      <c r="S515" s="117"/>
      <c r="T515" s="117"/>
    </row>
    <row r="516" spans="1:25" s="45" customFormat="1" ht="255">
      <c r="A516" s="117"/>
      <c r="B516" s="175"/>
      <c r="C516" s="175"/>
      <c r="D516" s="117"/>
      <c r="I516" s="54"/>
      <c r="J516" s="176"/>
      <c r="K516" s="54"/>
      <c r="L516" s="174" t="s">
        <v>413</v>
      </c>
      <c r="M516" s="174" t="str">
        <f>CONCATENATE(M510,"_line_",N510)</f>
        <v>roster_line_q16205_9c</v>
      </c>
      <c r="N516" s="174" t="str">
        <f>CONCATENATE(N510,"_1")</f>
        <v>q16205_9c_1</v>
      </c>
      <c r="O516" s="312"/>
      <c r="P516" s="117"/>
      <c r="Q516" s="117"/>
      <c r="R516" s="117"/>
      <c r="S516" s="117" t="str">
        <f>S510</f>
        <v>selected(data('q16204_9c'),'1') &amp;&amp; selected(data('q16206_9b'),'1') &amp;&amp; selected(data('q16206_9a'),'1') &amp;&amp; selected(data('q16202_9'),'1') &amp;&amp; selected(data('q16201'),'1') &amp;&amp; data('valid_overall') == 1</v>
      </c>
      <c r="T516" s="117"/>
      <c r="V516" s="31" t="str">
        <f>CONCATENATE(" (((data('",N485,"') != data('",N501,"')) || selected(data('",N487,"'), '2')   || selected(data('",N477,"'), '2')  || selected(data('",N492,"'), '2')) &amp;&amp; ((data('",N501,"') != data('",N516,"'))  || selected(data('",N487,"'), '2') || selected(data('",N503,"'), '2')   || selected(data('",N492,"'), '2')  || selected(data('",N507,"'), '2'))   &amp;&amp; ((data('",N485,"') != data('",N516,"'))  || selected(data('",N487,"'), '2')|| selected(data('",N507,"'), '2')   || selected(data('",N477,"'), '2')  || selected(data('",N507,"'), '2'))  )  || selected(data('",N473,"'), '2') || selected(data('",$N$6,"'),'2') || data('valid_overall') == 0")</f>
        <v xml:space="preserve"> (((data('q16205_9a_1') != data('q16205_9b_1')) || selected(data('q16206_9a'), '2')   || selected(data('q16204_9a'), '2')  || selected(data('q16204_9b'), '2')) &amp;&amp; ((data('q16205_9b_1') != data('q16205_9c_1'))  || selected(data('q16206_9a'), '2') || selected(data('q16206_9b'), '2')   || selected(data('q16204_9b'), '2')  || selected(data('q16204_9c'), '2'))   &amp;&amp; ((data('q16205_9a_1') != data('q16205_9c_1'))  || selected(data('q16206_9a'), '2')|| selected(data('q16204_9c'), '2')   || selected(data('q16204_9a'), '2')  || selected(data('q16204_9c'), '2'))  )  || selected(data('q16202_9'), '2') || selected(data('q16201'),'2') || data('valid_overall') == 0</v>
      </c>
      <c r="W516" s="31" t="s">
        <v>1033</v>
      </c>
      <c r="X516" s="31" t="s">
        <v>555</v>
      </c>
      <c r="Y516" s="45" t="b">
        <v>1</v>
      </c>
    </row>
    <row r="517" spans="1:25" s="45" customFormat="1">
      <c r="A517" s="117"/>
      <c r="B517" s="54"/>
      <c r="C517" s="54"/>
      <c r="D517" s="117"/>
      <c r="E517" s="54"/>
      <c r="F517" s="54"/>
      <c r="G517" s="191"/>
      <c r="I517" s="54"/>
      <c r="J517" s="66" t="s">
        <v>24</v>
      </c>
      <c r="K517" s="64"/>
      <c r="L517" s="19"/>
      <c r="M517" s="64"/>
      <c r="N517" s="64"/>
      <c r="O517" s="407"/>
      <c r="P517" s="31"/>
      <c r="Q517" s="117"/>
      <c r="R517" s="117"/>
      <c r="S517" s="117"/>
      <c r="T517" s="117"/>
    </row>
    <row r="518" spans="1:25" s="45" customFormat="1" ht="60">
      <c r="A518" s="117"/>
      <c r="B518" s="117"/>
      <c r="C518" s="117"/>
      <c r="D518" s="117"/>
      <c r="E518" s="118"/>
      <c r="F518" s="118"/>
      <c r="G518" s="191"/>
      <c r="I518" s="54"/>
      <c r="J518" s="192"/>
      <c r="L518" s="54" t="s">
        <v>18</v>
      </c>
      <c r="M518" s="45" t="s">
        <v>17</v>
      </c>
      <c r="N518" s="45" t="str">
        <f>CONCATENATE("q",$I$18, "_",$I$32)</f>
        <v>q16207_9</v>
      </c>
      <c r="O518" s="312" t="str">
        <f>CONCATENATE(N518, ". ", SUBSTITUTE($E$18, "]الحيوانات[",$E$32))</f>
        <v>q16207_9. خلال الـ12 شهر الماضية، هل قمت استهلكت أي من الحيوانات الأخرى؟</v>
      </c>
      <c r="P518" s="117" t="str">
        <f>CONCATENATE(N518, ". ", SUBSTITUTE($B$18, "[animal]",$B$32))</f>
        <v>q16207_9. During the past 12 months have you consumed any of the  Other animals?</v>
      </c>
      <c r="Q518" s="117"/>
      <c r="R518" s="117"/>
      <c r="S518" s="31" t="str">
        <f>CONCATENATE($K475, " &amp;&amp; ", $S$6)</f>
        <v>selected(data('q16202_9'),'1') &amp;&amp; selected(data('q16201'),'1') &amp;&amp; data('valid_overall') == 1</v>
      </c>
      <c r="T518" s="117"/>
      <c r="Y518" s="45" t="b">
        <v>1</v>
      </c>
    </row>
    <row r="519" spans="1:25" s="45" customFormat="1">
      <c r="A519" s="117"/>
      <c r="B519" s="117"/>
      <c r="C519" s="117"/>
      <c r="D519" s="117"/>
      <c r="E519" s="118"/>
      <c r="F519" s="118"/>
      <c r="G519" s="191"/>
      <c r="I519" s="54"/>
      <c r="J519" s="44" t="s">
        <v>21</v>
      </c>
      <c r="L519" s="54"/>
      <c r="O519" s="312"/>
      <c r="P519" s="117"/>
      <c r="Q519" s="117"/>
      <c r="R519" s="117"/>
      <c r="S519" s="31"/>
      <c r="T519" s="117"/>
    </row>
    <row r="520" spans="1:25" s="45" customFormat="1" ht="45">
      <c r="A520" s="117"/>
      <c r="B520" s="117"/>
      <c r="C520" s="117"/>
      <c r="D520" s="117"/>
      <c r="E520" s="118"/>
      <c r="F520" s="118"/>
      <c r="G520" s="191"/>
      <c r="I520" s="54"/>
      <c r="J520" s="192"/>
      <c r="L520" s="54" t="s">
        <v>18</v>
      </c>
      <c r="M520" s="45" t="s">
        <v>17</v>
      </c>
      <c r="N520" s="45" t="str">
        <f>CONCATENATE("q",$I$19, "_",$I$32)</f>
        <v>q16208_9</v>
      </c>
      <c r="O520" s="312" t="str">
        <f>CONCATENATE(N520, ". ", SUBSTITUTE($E$19, "]الحيوانات[",$E$32))</f>
        <v>q16208_9. خلال الـ12 شهر الماضية، هل قمت ببيع أي من الحيوانات الأخرى؟</v>
      </c>
      <c r="P520" s="117" t="str">
        <f>CONCATENATE(N520, ". ", SUBSTITUTE($B$19, "[animal]",$B$32))</f>
        <v>q16208_9. During the past 12 months have you sold any of the  Other animals?</v>
      </c>
      <c r="Q520" s="117"/>
      <c r="R520" s="117"/>
      <c r="S520" s="31" t="str">
        <f>CONCATENATE($K475, " &amp;&amp; ", $S$6)</f>
        <v>selected(data('q16202_9'),'1') &amp;&amp; selected(data('q16201'),'1') &amp;&amp; data('valid_overall') == 1</v>
      </c>
      <c r="T520" s="117"/>
      <c r="Y520" s="45" t="b">
        <v>1</v>
      </c>
    </row>
    <row r="521" spans="1:25" s="45" customFormat="1">
      <c r="A521" s="117"/>
      <c r="B521" s="117"/>
      <c r="C521" s="117"/>
      <c r="D521" s="117"/>
      <c r="E521" s="118"/>
      <c r="F521" s="118"/>
      <c r="G521" s="191"/>
      <c r="I521" s="54"/>
      <c r="J521" s="178" t="s">
        <v>24</v>
      </c>
      <c r="L521" s="54"/>
      <c r="O521" s="312"/>
      <c r="P521" s="117"/>
      <c r="Q521" s="117"/>
      <c r="R521" s="117"/>
      <c r="S521" s="31"/>
      <c r="T521" s="117"/>
    </row>
    <row r="522" spans="1:25" s="45" customFormat="1">
      <c r="B522" s="117"/>
      <c r="C522" s="117"/>
      <c r="D522" s="54"/>
      <c r="E522" s="117"/>
      <c r="F522" s="117"/>
      <c r="G522" s="54"/>
      <c r="H522" s="191"/>
      <c r="I522" s="54"/>
      <c r="J522" s="178" t="s">
        <v>23</v>
      </c>
      <c r="K522" s="45" t="str">
        <f>CONCATENATE("selected(data('",N520,"'),'1') &amp;&amp; ",K513)</f>
        <v>selected(data('q16208_9'),'1') &amp;&amp; selected(data('q16202_9'),'1') &amp;&amp; selected(data('q16201'),'1')</v>
      </c>
      <c r="L522" s="54"/>
      <c r="O522" s="312"/>
      <c r="P522" s="117"/>
      <c r="Q522" s="117"/>
      <c r="R522" s="117"/>
      <c r="S522" s="117"/>
      <c r="T522" s="117"/>
    </row>
    <row r="523" spans="1:25" s="45" customFormat="1" ht="60">
      <c r="B523" s="117"/>
      <c r="C523" s="117"/>
      <c r="D523" s="54"/>
      <c r="E523" s="117"/>
      <c r="F523" s="117"/>
      <c r="G523" s="54"/>
      <c r="H523" s="191"/>
      <c r="I523" s="54"/>
      <c r="J523" s="193"/>
      <c r="L523" s="54" t="s">
        <v>19</v>
      </c>
      <c r="N523" s="45" t="str">
        <f>CONCATENATE("q",$I$20, "_",$I$32)</f>
        <v>q16209_9</v>
      </c>
      <c r="O523" s="312" t="str">
        <f>CONCATENATE(N523, ". ", SUBSTITUTE($E$20,  "]الحيوانات[",$E$32))</f>
        <v>q16209_9. كم عدد الحيوانات الأخرى  الذى تم بيعه؟</v>
      </c>
      <c r="P523" s="190" t="str">
        <f>CONCATENATE(N523, ". ", SUBSTITUTE($B$20, "[animal]",$B$32))</f>
        <v>q16209_9. How many  Other animals have been sold?</v>
      </c>
      <c r="Q523" s="31" t="str">
        <f>$F$20</f>
        <v xml:space="preserve"> في حالة لا أعرف سجل  98</v>
      </c>
      <c r="R523" s="31" t="str">
        <f>$C$20</f>
        <v>*If don't know, write 98</v>
      </c>
      <c r="S523" s="31" t="str">
        <f>CONCATENATE($K522," &amp;&amp; ", $S$6)</f>
        <v>selected(data('q16208_9'),'1') &amp;&amp; selected(data('q16202_9'),'1') &amp;&amp; selected(data('q16201'),'1') &amp;&amp; data('valid_overall') == 1</v>
      </c>
      <c r="T523" s="31"/>
      <c r="Y523" s="45" t="b">
        <v>1</v>
      </c>
    </row>
    <row r="524" spans="1:25" s="45" customFormat="1" ht="60">
      <c r="B524" s="117"/>
      <c r="C524" s="117"/>
      <c r="D524" s="54"/>
      <c r="E524" s="117"/>
      <c r="F524" s="117"/>
      <c r="G524" s="54"/>
      <c r="H524" s="191"/>
      <c r="I524" s="54"/>
      <c r="J524" s="193"/>
      <c r="L524" s="54" t="s">
        <v>19</v>
      </c>
      <c r="N524" s="45" t="str">
        <f>CONCATENATE("q",$I$21, "_",$I$32)</f>
        <v>q16210_9</v>
      </c>
      <c r="O524" s="312" t="str">
        <f>CONCATENATE(N524, ". ", SUBSTITUTE($E$21,  "]الحيوانات[",$E$32))</f>
        <v xml:space="preserve">q16210_9. ما  قيمة البيع الإجمالية من الحيوانات الأخرى  ؟ (بالجنيه)
</v>
      </c>
      <c r="P524" s="190" t="str">
        <f>CONCATENATE(N524, ". ", SUBSTITUTE($B$21, "[animal]",$B$32))</f>
        <v>q16210_9. What was the total value of the sales of  Other animals ? (in pounds)</v>
      </c>
      <c r="Q524" s="31" t="str">
        <f>$F$21</f>
        <v>في حالة لا أعرف سجل 999998</v>
      </c>
      <c r="R524" s="31" t="str">
        <f>$C$21</f>
        <v xml:space="preserve"> *If don't know, write 999998</v>
      </c>
      <c r="S524" s="31" t="str">
        <f>CONCATENATE($K522," &amp;&amp; ", $S$6)</f>
        <v>selected(data('q16208_9'),'1') &amp;&amp; selected(data('q16202_9'),'1') &amp;&amp; selected(data('q16201'),'1') &amp;&amp; data('valid_overall') == 1</v>
      </c>
      <c r="T524" s="31"/>
      <c r="Y524" s="45" t="b">
        <v>1</v>
      </c>
    </row>
    <row r="525" spans="1:25" s="45" customFormat="1">
      <c r="B525" s="117"/>
      <c r="C525" s="117"/>
      <c r="E525" s="117"/>
      <c r="F525" s="117"/>
      <c r="H525" s="191"/>
      <c r="I525" s="54"/>
      <c r="J525" s="178" t="s">
        <v>42</v>
      </c>
      <c r="L525" s="54"/>
      <c r="O525" s="312"/>
      <c r="P525" s="117"/>
      <c r="Q525" s="117"/>
      <c r="R525" s="117"/>
      <c r="S525" s="117"/>
      <c r="T525" s="117"/>
    </row>
    <row r="526" spans="1:25" s="249" customFormat="1">
      <c r="B526" s="250"/>
      <c r="C526" s="250"/>
      <c r="E526" s="250"/>
      <c r="F526" s="250"/>
      <c r="H526" s="251" t="s">
        <v>792</v>
      </c>
      <c r="I526" s="253"/>
      <c r="J526" s="252"/>
      <c r="L526" s="253"/>
      <c r="O526" s="330"/>
      <c r="P526" s="250"/>
      <c r="Q526" s="250"/>
      <c r="R526" s="250"/>
      <c r="S526" s="250"/>
      <c r="T526" s="250"/>
      <c r="W526" s="45"/>
    </row>
    <row r="527" spans="1:25">
      <c r="J527" s="139" t="s">
        <v>23</v>
      </c>
      <c r="K527" s="9" t="str">
        <f>K34</f>
        <v>selected(data('q16201'),'1')</v>
      </c>
    </row>
    <row r="528" spans="1:25">
      <c r="J528" s="9" t="s">
        <v>20</v>
      </c>
    </row>
    <row r="529" spans="1:25" ht="105">
      <c r="B529" s="30" t="s">
        <v>942</v>
      </c>
      <c r="C529" s="30"/>
      <c r="D529" s="30"/>
      <c r="E529" s="30" t="s">
        <v>1395</v>
      </c>
      <c r="F529" s="30"/>
      <c r="L529" s="18" t="s">
        <v>22</v>
      </c>
      <c r="O529" s="70" t="str">
        <f>E529</f>
        <v>خلال الـ12 شهراً الماضية، هل أنفقت أي من النفقات التالية والمتعلقة بتربية الحيوان والطيور؟</v>
      </c>
      <c r="P529" s="30" t="str">
        <f>B529</f>
        <v xml:space="preserve">In the past 12 months have you had any of the following expenditures related to livestock? </v>
      </c>
    </row>
    <row r="530" spans="1:25" ht="45">
      <c r="A530" s="45" t="str">
        <f>CONCATENATE("q",I530)</f>
        <v>q16211</v>
      </c>
      <c r="B530" s="9" t="s">
        <v>943</v>
      </c>
      <c r="D530" s="31" t="str">
        <f>CONCATENATE(INDEX(choices!D:D,MATCH(M530,choices!A:A,0)),"
",IF(M530=INDEX(choices!A:A,MATCH(M530,choices!A:A,0)+1),INDEX(choices!D:D,MATCH(M530,choices!A:A,0)+1),""),IF(M530=INDEX(choices!A:A,MATCH(M530,choices!A:A,0)+1), "
",""),IF(M530=INDEX(choices!A:A,MATCH(M530,choices!A:A,0)+2),INDEX(choices!D:D,MATCH(M530,choices!A:A,0)+2),""),IF(M530=INDEX(choices!A:A,MATCH(M530,choices!A:A,0)+2), "
",""),IF(M530=INDEX(choices!A:A,MATCH(M530,choices!A:A,0)+3),INDEX(choices!D:D,MATCH(M530,choices!A:A,0)+3),""),IF(M530=INDEX(choices!A:A,MATCH(M530,choices!A:A,0)+3), "
",""),IF(M530=INDEX(choices!A:A,MATCH(M530,choices!A:A,0)+4),INDEX(choices!D:D,MATCH(M530,choices!A:A,0)+4),""),IF(M530=INDEX(choices!A:A,MATCH(M530,choices!A:A,0)+4), "
",""),IF(M530=INDEX(choices!A:A,MATCH(M530,choices!A:A,0)+5),INDEX(choices!D:D,MATCH(M530,choices!A:A,0)+5),""),IF(M530=INDEX(choices!A:A,MATCH(M530,choices!A:A,0)+5), "
",""),IF(M530=INDEX(choices!A:A,MATCH(M530,choices!A:A,0)+6),INDEX(choices!D:D,MATCH(M530,choices!A:A,0)+6),""),IF(M530=INDEX(choices!A:A,MATCH(M530,choices!A:A,0)+6), "
",""),IF(M530=INDEX(choices!A:A,MATCH(M530,choices!A:A,0)+7),INDEX(choices!D:D,MATCH(M530,choices!A:A,0)+7),""),IF(M530=INDEX(choices!A:A,MATCH(M530,choices!A:A,0)+7), "
",""),IF(M530=INDEX(choices!A:A,MATCH(M530,choices!A:A,0)+8),INDEX(choices!D:D,MATCH(M530,choices!A:A,0)+8),""),IF(M530=INDEX(choices!A:A,MATCH(M530,choices!A:A,0)+8), "
",""),IF(M530=INDEX(choices!A:A,MATCH(M530,choices!A:A,0)+9),INDEX(choices!D:D,MATCH(M530,choices!A:A,0)+9),""),IF(M530=INDEX(choices!A:A,MATCH(M530,choices!A:A,0)+9), "
",""),IF(M530=INDEX(choices!A:A,MATCH(M530,choices!A:A,0)+10),INDEX(choices!D:D,MATCH(M530,choices!A:A,0)+10),""),IF(M530=INDEX(choices!A:A,MATCH(M530,choices!A:A,0)+10), "
",""),IF(M530=INDEX(choices!A:A,MATCH(M530,choices!A:A,0)+11),INDEX(choices!D:D,MATCH(M530,choices!A:A,0)+11),""),IF(M530=INDEX(choices!A:A,MATCH(M530,choices!A:A,0)+11), "
",""),IF(M530=INDEX(choices!A:A,MATCH(M530,choices!A:A,0)+12),INDEX(choices!D:D,MATCH(M530,choices!A:A,0)+12),""),IF(M530=INDEX(choices!A:A,MATCH(M530,choices!A:A,0)+12), "
",""),IF(M530=INDEX(choices!A:A,MATCH(M530,choices!A:A,0)+13),INDEX(choices!D:D,MATCH(M530,choices!A:A,0)+13),""),IF(M530=INDEX(choices!A:A,MATCH(M530,choices!A:A,0)+13), "
",""),IF(M530=INDEX(choices!A:A,MATCH(M530,choices!A:A,0)+14),INDEX(choices!D:D,MATCH(M530,choices!A:A,0)+14),""),IF(M530=INDEX(choices!A:A,MATCH(M530,choices!A:A,0)+14), "
",""),IF(M530=INDEX(choices!A:A,MATCH(M530,choices!A:A,0)+15),INDEX(choices!D:D,MATCH(M530,choices!A:A,0)+15),""),IF(M530=INDEX(choices!A:A,MATCH(M530,choices!A:A,0)+15), "
",""),IF(M530=INDEX(choices!A:A,MATCH(M530,choices!A:A,0)+16),INDEX(choices!D:D,MATCH(M530,choices!A:A,0)+16),""),IF(M530=INDEX(choices!A:A,MATCH(M530,choices!A:A,0)+16), "
",""),IF(M530=INDEX(choices!A:A,MATCH(M530,choices!A:A,0)+17),INDEX(choices!D:D,MATCH(M530,choices!A:A,0)+17),""),IF(M530=INDEX(choices!A:A,MATCH(M530,choices!A:A,0)+17), "
",""),IF(M530=INDEX(choices!A:A,MATCH(M530,choices!A:A,0)+18),INDEX(choices!D:D,MATCH(M530,choices!A:A,0)+18),""),IF(M530=INDEX(choices!A:A,MATCH(M530,choices!A:A,0)+18), "
",""),IF(M530=INDEX(choices!A:A,MATCH(M530,choices!A:A,0)+19),INDEX(choices!D:D,MATCH(M530,choices!A:A,0)+19),""),IF(M530=INDEX(choices!A:A,MATCH(M530,choices!A:A,0)+19), "
",""),IF(M530=INDEX(choices!A:A,MATCH(M530,choices!A:A,0)+20),INDEX(choices!D:D,MATCH(M530,choices!A:A,0)+20),""),IF(M530=INDEX(choices!A:A,MATCH(M530,choices!A:A,0)+20), "
",""))</f>
        <v xml:space="preserve">1. Yes
2. No
</v>
      </c>
      <c r="E530" s="30" t="s">
        <v>1396</v>
      </c>
      <c r="G530" s="67" t="str">
        <f>CONCATENATE(INDEX(choices!C:C,MATCH(M530,choices!A:A,0)),"
",IF(M530=INDEX(choices!A:A,MATCH(M530,choices!A:A,0)+1),INDEX(choices!C:C,MATCH(M530,choices!A:A,0)+1),""),IF(M530=INDEX(choices!A:A,MATCH(M530,choices!A:A,0)+1), "
",""),IF(M530=INDEX(choices!A:A,MATCH(M530,choices!A:A,0)+2),INDEX(choices!C:C,MATCH(M530,choices!A:A,0)+2),""),IF(M530=INDEX(choices!A:A,MATCH(M530,choices!A:A,0)+2), "
",""),IF(M530=INDEX(choices!A:A,MATCH(M530,choices!A:A,0)+3),INDEX(choices!C:C,MATCH(M530,choices!A:A,0)+3),""),IF(M530=INDEX(choices!A:A,MATCH(M530,choices!A:A,0)+3), "
",""),IF(M530=INDEX(choices!A:A,MATCH(M530,choices!A:A,0)+4),INDEX(choices!C:C,MATCH(M530,choices!A:A,0)+4),""),IF(M530=INDEX(choices!A:A,MATCH(M530,choices!A:A,0)+4), "
",""),IF(M530=INDEX(choices!A:A,MATCH(M530,choices!A:A,0)+5),INDEX(choices!C:C,MATCH(M530,choices!A:A,0)+5),""),IF(M530=INDEX(choices!A:A,MATCH(M530,choices!A:A,0)+5), "
",""),IF(M530=INDEX(choices!A:A,MATCH(M530,choices!A:A,0)+6),INDEX(choices!C:C,MATCH(M530,choices!A:A,0)+6),""),IF(M530=INDEX(choices!A:A,MATCH(M530,choices!A:A,0)+6), "
",""),IF(M530=INDEX(choices!A:A,MATCH(M530,choices!A:A,0)+7),INDEX(choices!C:C,MATCH(M530,choices!A:A,0)+7),""),IF(M530=INDEX(choices!A:A,MATCH(M530,choices!A:A,0)+7), "
",""),IF(M530=INDEX(choices!A:A,MATCH(M530,choices!A:A,0)+8),INDEX(choices!C:C,MATCH(M530,choices!A:A,0)+8),""),IF(M530=INDEX(choices!A:A,MATCH(M530,choices!A:A,0)+8), "
",""),IF(M530=INDEX(choices!A:A,MATCH(M530,choices!A:A,0)+9),INDEX(choices!C:C,MATCH(M530,choices!A:A,0)+9),""),IF(M530=INDEX(choices!A:A,MATCH(M530,choices!A:A,0)+9), "
",""),IF(M530=INDEX(choices!A:A,MATCH(M530,choices!A:A,0)+10),INDEX(choices!C:C,MATCH(M530,choices!A:A,0)+10),""),IF(M530=INDEX(choices!A:A,MATCH(M530,choices!A:A,0)+10), "
",""),IF(M530=INDEX(choices!A:A,MATCH(M530,choices!A:A,0)+11),INDEX(choices!C:C,MATCH(M530,choices!A:A,0)+11),""),IF(M530=INDEX(choices!A:A,MATCH(M530,choices!A:A,0)+11), "
",""),IF(M530=INDEX(choices!A:A,MATCH(M530,choices!A:A,0)+12),INDEX(choices!C:C,MATCH(M530,choices!A:A,0)+12),""),IF(M530=INDEX(choices!A:A,MATCH(M530,choices!A:A,0)+12), "
",""),IF(M530=INDEX(choices!A:A,MATCH(M530,choices!A:A,0)+13),INDEX(choices!C:C,MATCH(M530,choices!A:A,0)+13),""),IF(M530=INDEX(choices!A:A,MATCH(M530,choices!A:A,0)+13), "
",""),IF(M530=INDEX(choices!A:A,MATCH(M530,choices!A:A,0)+14),INDEX(choices!C:C,MATCH(M530,choices!A:A,0)+14),""),IF(M530=INDEX(choices!A:A,MATCH(M530,choices!A:A,0)+14), "
",""),IF(M530=INDEX(choices!A:A,MATCH(M530,choices!A:A,0)+15),INDEX(choices!C:C,MATCH(M530,choices!A:A,0)+15),""),IF(M530=INDEX(choices!A:A,MATCH(M530,choices!A:A,0)+15), "
",""),IF(M530=INDEX(choices!A:A,MATCH(M530,choices!A:A,0)+16),INDEX(choices!C:C,MATCH(M530,choices!A:A,0)+16),""),IF(M530=INDEX(choices!A:A,MATCH(M530,choices!A:A,0)+16), "
",""),IF(M530=INDEX(choices!A:A,MATCH(M530,choices!A:A,0)+17),INDEX(choices!C:C,MATCH(M530,choices!A:A,0)+17),""),IF(M530=INDEX(choices!A:A,MATCH(M530,choices!A:A,0)+17), "
",""),IF(M530=INDEX(choices!A:A,MATCH(M530,choices!A:A,0)+18),INDEX(choices!C:C,MATCH(M530,choices!A:A,0)+18),""),IF(M530=INDEX(choices!A:A,MATCH(M530,choices!A:A,0)+18), "
",""),IF(M530=INDEX(choices!A:A,MATCH(M530,choices!A:A,0)+19),INDEX(choices!C:C,MATCH(M530,choices!A:A,0)+19),""),IF(M530=INDEX(choices!A:A,MATCH(M530,choices!A:A,0)+19), "
",""),IF(M530=INDEX(choices!A:A,MATCH(M530,choices!A:A,0)+20),INDEX(choices!C:C,MATCH(M530,choices!A:A,0)+20),""),IF(M530=INDEX(choices!A:A,MATCH(M530,choices!A:A,0)+20), "
","")," ")</f>
        <v xml:space="preserve">1. نعم
2. لا
 </v>
      </c>
      <c r="I530" s="18">
        <f>I21+1</f>
        <v>16211</v>
      </c>
      <c r="L530" s="18" t="s">
        <v>170</v>
      </c>
      <c r="M530" s="9" t="s">
        <v>17</v>
      </c>
      <c r="N530" s="31" t="str">
        <f>CONCATENATE("q",I530)</f>
        <v>q16211</v>
      </c>
      <c r="O530" s="48" t="str">
        <f>CONCATENATE(I530, ". ",E530)</f>
        <v>16211. العمالة بأجر لرعاية وإطعام الحيوانات</v>
      </c>
      <c r="P530" s="31" t="str">
        <f>CONCATENATE(I530, ". ",B530)</f>
        <v>16211. hired labor for herding or feeding</v>
      </c>
      <c r="Q530" s="30" t="s">
        <v>1422</v>
      </c>
      <c r="R530" s="30" t="s">
        <v>1423</v>
      </c>
      <c r="S530" s="31" t="str">
        <f>CONCATENATE($K$527," &amp;&amp; ", $S$6)</f>
        <v>selected(data('q16201'),'1') &amp;&amp; data('valid_overall') == 1</v>
      </c>
      <c r="Y530" s="9" t="b">
        <v>1</v>
      </c>
    </row>
    <row r="531" spans="1:25">
      <c r="E531" s="404"/>
      <c r="J531" s="140" t="s">
        <v>23</v>
      </c>
      <c r="K531" s="9" t="str">
        <f>CONCATENATE("selected(data('",N530,"'), '1') &amp;&amp; ",K$527)</f>
        <v>selected(data('q16211'), '1') &amp;&amp; selected(data('q16201'),'1')</v>
      </c>
    </row>
    <row r="532" spans="1:25" ht="60">
      <c r="A532" s="45" t="str">
        <f>CONCATENATE("q",I532)</f>
        <v>q16211_1</v>
      </c>
      <c r="B532" s="2" t="s">
        <v>947</v>
      </c>
      <c r="C532" s="2"/>
      <c r="E532" s="30" t="s">
        <v>1397</v>
      </c>
      <c r="F532" s="2"/>
      <c r="I532" s="18" t="str">
        <f>CONCATENATE(I530,"_1")</f>
        <v>16211_1</v>
      </c>
      <c r="L532" s="18" t="s">
        <v>19</v>
      </c>
      <c r="N532" s="31" t="str">
        <f>CONCATENATE("q",I532)</f>
        <v>q16211_1</v>
      </c>
      <c r="O532" s="48" t="str">
        <f>CONCATENATE(I532, ". ",E532)</f>
        <v>16211_1. القيمة المادية (أو تقدير قيمة المدفوعات العينية، إن وجدت)</v>
      </c>
      <c r="P532" s="31" t="str">
        <f>CONCATENATE(I532, ". ",B532)</f>
        <v>16211_1. Cash value (if in kind or grown, give estimated cash value)</v>
      </c>
      <c r="S532" s="31" t="str">
        <f>CONCATENATE($K531," &amp;&amp; ", $S$6)</f>
        <v>selected(data('q16211'), '1') &amp;&amp; selected(data('q16201'),'1') &amp;&amp; data('valid_overall') == 1</v>
      </c>
      <c r="Y532" s="9" t="b">
        <v>1</v>
      </c>
    </row>
    <row r="533" spans="1:25">
      <c r="E533" s="404"/>
      <c r="J533" s="140" t="s">
        <v>24</v>
      </c>
    </row>
    <row r="534" spans="1:25">
      <c r="E534" s="404"/>
      <c r="J534" s="21" t="s">
        <v>21</v>
      </c>
    </row>
    <row r="535" spans="1:25">
      <c r="E535" s="404"/>
      <c r="J535" s="9" t="s">
        <v>20</v>
      </c>
    </row>
    <row r="536" spans="1:25" ht="45">
      <c r="A536" s="45" t="str">
        <f>CONCATENATE("q",I536)</f>
        <v>q16212</v>
      </c>
      <c r="B536" s="9" t="s">
        <v>944</v>
      </c>
      <c r="D536" s="31" t="str">
        <f>CONCATENATE(INDEX(choices!D:D,MATCH(M536,choices!A:A,0)),"
",IF(M536=INDEX(choices!A:A,MATCH(M536,choices!A:A,0)+1),INDEX(choices!D:D,MATCH(M536,choices!A:A,0)+1),""),IF(M536=INDEX(choices!A:A,MATCH(M536,choices!A:A,0)+1), "
",""),IF(M536=INDEX(choices!A:A,MATCH(M536,choices!A:A,0)+2),INDEX(choices!D:D,MATCH(M536,choices!A:A,0)+2),""),IF(M536=INDEX(choices!A:A,MATCH(M536,choices!A:A,0)+2), "
",""),IF(M536=INDEX(choices!A:A,MATCH(M536,choices!A:A,0)+3),INDEX(choices!D:D,MATCH(M536,choices!A:A,0)+3),""),IF(M536=INDEX(choices!A:A,MATCH(M536,choices!A:A,0)+3), "
",""),IF(M536=INDEX(choices!A:A,MATCH(M536,choices!A:A,0)+4),INDEX(choices!D:D,MATCH(M536,choices!A:A,0)+4),""),IF(M536=INDEX(choices!A:A,MATCH(M536,choices!A:A,0)+4), "
",""),IF(M536=INDEX(choices!A:A,MATCH(M536,choices!A:A,0)+5),INDEX(choices!D:D,MATCH(M536,choices!A:A,0)+5),""),IF(M536=INDEX(choices!A:A,MATCH(M536,choices!A:A,0)+5), "
",""),IF(M536=INDEX(choices!A:A,MATCH(M536,choices!A:A,0)+6),INDEX(choices!D:D,MATCH(M536,choices!A:A,0)+6),""),IF(M536=INDEX(choices!A:A,MATCH(M536,choices!A:A,0)+6), "
",""),IF(M536=INDEX(choices!A:A,MATCH(M536,choices!A:A,0)+7),INDEX(choices!D:D,MATCH(M536,choices!A:A,0)+7),""),IF(M536=INDEX(choices!A:A,MATCH(M536,choices!A:A,0)+7), "
",""),IF(M536=INDEX(choices!A:A,MATCH(M536,choices!A:A,0)+8),INDEX(choices!D:D,MATCH(M536,choices!A:A,0)+8),""),IF(M536=INDEX(choices!A:A,MATCH(M536,choices!A:A,0)+8), "
",""),IF(M536=INDEX(choices!A:A,MATCH(M536,choices!A:A,0)+9),INDEX(choices!D:D,MATCH(M536,choices!A:A,0)+9),""),IF(M536=INDEX(choices!A:A,MATCH(M536,choices!A:A,0)+9), "
",""),IF(M536=INDEX(choices!A:A,MATCH(M536,choices!A:A,0)+10),INDEX(choices!D:D,MATCH(M536,choices!A:A,0)+10),""),IF(M536=INDEX(choices!A:A,MATCH(M536,choices!A:A,0)+10), "
",""),IF(M536=INDEX(choices!A:A,MATCH(M536,choices!A:A,0)+11),INDEX(choices!D:D,MATCH(M536,choices!A:A,0)+11),""),IF(M536=INDEX(choices!A:A,MATCH(M536,choices!A:A,0)+11), "
",""),IF(M536=INDEX(choices!A:A,MATCH(M536,choices!A:A,0)+12),INDEX(choices!D:D,MATCH(M536,choices!A:A,0)+12),""),IF(M536=INDEX(choices!A:A,MATCH(M536,choices!A:A,0)+12), "
",""),IF(M536=INDEX(choices!A:A,MATCH(M536,choices!A:A,0)+13),INDEX(choices!D:D,MATCH(M536,choices!A:A,0)+13),""),IF(M536=INDEX(choices!A:A,MATCH(M536,choices!A:A,0)+13), "
",""),IF(M536=INDEX(choices!A:A,MATCH(M536,choices!A:A,0)+14),INDEX(choices!D:D,MATCH(M536,choices!A:A,0)+14),""),IF(M536=INDEX(choices!A:A,MATCH(M536,choices!A:A,0)+14), "
",""),IF(M536=INDEX(choices!A:A,MATCH(M536,choices!A:A,0)+15),INDEX(choices!D:D,MATCH(M536,choices!A:A,0)+15),""),IF(M536=INDEX(choices!A:A,MATCH(M536,choices!A:A,0)+15), "
",""),IF(M536=INDEX(choices!A:A,MATCH(M536,choices!A:A,0)+16),INDEX(choices!D:D,MATCH(M536,choices!A:A,0)+16),""),IF(M536=INDEX(choices!A:A,MATCH(M536,choices!A:A,0)+16), "
",""),IF(M536=INDEX(choices!A:A,MATCH(M536,choices!A:A,0)+17),INDEX(choices!D:D,MATCH(M536,choices!A:A,0)+17),""),IF(M536=INDEX(choices!A:A,MATCH(M536,choices!A:A,0)+17), "
",""),IF(M536=INDEX(choices!A:A,MATCH(M536,choices!A:A,0)+18),INDEX(choices!D:D,MATCH(M536,choices!A:A,0)+18),""),IF(M536=INDEX(choices!A:A,MATCH(M536,choices!A:A,0)+18), "
",""),IF(M536=INDEX(choices!A:A,MATCH(M536,choices!A:A,0)+19),INDEX(choices!D:D,MATCH(M536,choices!A:A,0)+19),""),IF(M536=INDEX(choices!A:A,MATCH(M536,choices!A:A,0)+19), "
",""),IF(M536=INDEX(choices!A:A,MATCH(M536,choices!A:A,0)+20),INDEX(choices!D:D,MATCH(M536,choices!A:A,0)+20),""),IF(M536=INDEX(choices!A:A,MATCH(M536,choices!A:A,0)+20), "
",""))</f>
        <v xml:space="preserve">1. Yes
2. No
</v>
      </c>
      <c r="E536" s="404" t="s">
        <v>1398</v>
      </c>
      <c r="G536" s="67" t="str">
        <f>CONCATENATE(INDEX(choices!C:C,MATCH(M536,choices!A:A,0)),"
",IF(M536=INDEX(choices!A:A,MATCH(M536,choices!A:A,0)+1),INDEX(choices!C:C,MATCH(M536,choices!A:A,0)+1),""),IF(M536=INDEX(choices!A:A,MATCH(M536,choices!A:A,0)+1), "
",""),IF(M536=INDEX(choices!A:A,MATCH(M536,choices!A:A,0)+2),INDEX(choices!C:C,MATCH(M536,choices!A:A,0)+2),""),IF(M536=INDEX(choices!A:A,MATCH(M536,choices!A:A,0)+2), "
",""),IF(M536=INDEX(choices!A:A,MATCH(M536,choices!A:A,0)+3),INDEX(choices!C:C,MATCH(M536,choices!A:A,0)+3),""),IF(M536=INDEX(choices!A:A,MATCH(M536,choices!A:A,0)+3), "
",""),IF(M536=INDEX(choices!A:A,MATCH(M536,choices!A:A,0)+4),INDEX(choices!C:C,MATCH(M536,choices!A:A,0)+4),""),IF(M536=INDEX(choices!A:A,MATCH(M536,choices!A:A,0)+4), "
",""),IF(M536=INDEX(choices!A:A,MATCH(M536,choices!A:A,0)+5),INDEX(choices!C:C,MATCH(M536,choices!A:A,0)+5),""),IF(M536=INDEX(choices!A:A,MATCH(M536,choices!A:A,0)+5), "
",""),IF(M536=INDEX(choices!A:A,MATCH(M536,choices!A:A,0)+6),INDEX(choices!C:C,MATCH(M536,choices!A:A,0)+6),""),IF(M536=INDEX(choices!A:A,MATCH(M536,choices!A:A,0)+6), "
",""),IF(M536=INDEX(choices!A:A,MATCH(M536,choices!A:A,0)+7),INDEX(choices!C:C,MATCH(M536,choices!A:A,0)+7),""),IF(M536=INDEX(choices!A:A,MATCH(M536,choices!A:A,0)+7), "
",""),IF(M536=INDEX(choices!A:A,MATCH(M536,choices!A:A,0)+8),INDEX(choices!C:C,MATCH(M536,choices!A:A,0)+8),""),IF(M536=INDEX(choices!A:A,MATCH(M536,choices!A:A,0)+8), "
",""),IF(M536=INDEX(choices!A:A,MATCH(M536,choices!A:A,0)+9),INDEX(choices!C:C,MATCH(M536,choices!A:A,0)+9),""),IF(M536=INDEX(choices!A:A,MATCH(M536,choices!A:A,0)+9), "
",""),IF(M536=INDEX(choices!A:A,MATCH(M536,choices!A:A,0)+10),INDEX(choices!C:C,MATCH(M536,choices!A:A,0)+10),""),IF(M536=INDEX(choices!A:A,MATCH(M536,choices!A:A,0)+10), "
",""),IF(M536=INDEX(choices!A:A,MATCH(M536,choices!A:A,0)+11),INDEX(choices!C:C,MATCH(M536,choices!A:A,0)+11),""),IF(M536=INDEX(choices!A:A,MATCH(M536,choices!A:A,0)+11), "
",""),IF(M536=INDEX(choices!A:A,MATCH(M536,choices!A:A,0)+12),INDEX(choices!C:C,MATCH(M536,choices!A:A,0)+12),""),IF(M536=INDEX(choices!A:A,MATCH(M536,choices!A:A,0)+12), "
",""),IF(M536=INDEX(choices!A:A,MATCH(M536,choices!A:A,0)+13),INDEX(choices!C:C,MATCH(M536,choices!A:A,0)+13),""),IF(M536=INDEX(choices!A:A,MATCH(M536,choices!A:A,0)+13), "
",""),IF(M536=INDEX(choices!A:A,MATCH(M536,choices!A:A,0)+14),INDEX(choices!C:C,MATCH(M536,choices!A:A,0)+14),""),IF(M536=INDEX(choices!A:A,MATCH(M536,choices!A:A,0)+14), "
",""),IF(M536=INDEX(choices!A:A,MATCH(M536,choices!A:A,0)+15),INDEX(choices!C:C,MATCH(M536,choices!A:A,0)+15),""),IF(M536=INDEX(choices!A:A,MATCH(M536,choices!A:A,0)+15), "
",""),IF(M536=INDEX(choices!A:A,MATCH(M536,choices!A:A,0)+16),INDEX(choices!C:C,MATCH(M536,choices!A:A,0)+16),""),IF(M536=INDEX(choices!A:A,MATCH(M536,choices!A:A,0)+16), "
",""),IF(M536=INDEX(choices!A:A,MATCH(M536,choices!A:A,0)+17),INDEX(choices!C:C,MATCH(M536,choices!A:A,0)+17),""),IF(M536=INDEX(choices!A:A,MATCH(M536,choices!A:A,0)+17), "
",""),IF(M536=INDEX(choices!A:A,MATCH(M536,choices!A:A,0)+18),INDEX(choices!C:C,MATCH(M536,choices!A:A,0)+18),""),IF(M536=INDEX(choices!A:A,MATCH(M536,choices!A:A,0)+18), "
",""),IF(M536=INDEX(choices!A:A,MATCH(M536,choices!A:A,0)+19),INDEX(choices!C:C,MATCH(M536,choices!A:A,0)+19),""),IF(M536=INDEX(choices!A:A,MATCH(M536,choices!A:A,0)+19), "
",""),IF(M536=INDEX(choices!A:A,MATCH(M536,choices!A:A,0)+20),INDEX(choices!C:C,MATCH(M536,choices!A:A,0)+20),""),IF(M536=INDEX(choices!A:A,MATCH(M536,choices!A:A,0)+20), "
","")," ")</f>
        <v xml:space="preserve">1. نعم
2. لا
 </v>
      </c>
      <c r="I536" s="18">
        <f>I530+1</f>
        <v>16212</v>
      </c>
      <c r="L536" s="18" t="s">
        <v>170</v>
      </c>
      <c r="M536" s="9" t="s">
        <v>17</v>
      </c>
      <c r="N536" s="31" t="str">
        <f>CONCATENATE("q",I536)</f>
        <v>q16212</v>
      </c>
      <c r="O536" s="48" t="str">
        <f>CONCATENATE(I536, ". ",E536)</f>
        <v>16212. علف الدواجن/المواشي</v>
      </c>
      <c r="P536" s="31" t="str">
        <f>CONCATENATE(I536, ". ",B536)</f>
        <v>16212. livestock/poultry feed</v>
      </c>
      <c r="Q536" s="30" t="s">
        <v>1422</v>
      </c>
      <c r="R536" s="30" t="s">
        <v>1423</v>
      </c>
      <c r="S536" s="31" t="str">
        <f>CONCATENATE($K$527," &amp;&amp; ", $S$6)</f>
        <v>selected(data('q16201'),'1') &amp;&amp; data('valid_overall') == 1</v>
      </c>
      <c r="Y536" s="9" t="b">
        <v>1</v>
      </c>
    </row>
    <row r="537" spans="1:25">
      <c r="E537" s="404"/>
      <c r="J537" s="140" t="s">
        <v>23</v>
      </c>
      <c r="K537" s="9" t="str">
        <f>CONCATENATE("selected(data('",N536,"'), '1') &amp;&amp; ",K$527)</f>
        <v>selected(data('q16212'), '1') &amp;&amp; selected(data('q16201'),'1')</v>
      </c>
    </row>
    <row r="538" spans="1:25" ht="60">
      <c r="A538" s="45" t="str">
        <f>CONCATENATE("q",I538)</f>
        <v>q16212_1</v>
      </c>
      <c r="B538" s="2" t="s">
        <v>947</v>
      </c>
      <c r="C538" s="2"/>
      <c r="E538" s="30" t="s">
        <v>1397</v>
      </c>
      <c r="F538" s="2"/>
      <c r="I538" s="18" t="str">
        <f>CONCATENATE(I536,"_1")</f>
        <v>16212_1</v>
      </c>
      <c r="L538" s="18" t="s">
        <v>19</v>
      </c>
      <c r="N538" s="31" t="str">
        <f>CONCATENATE("q",I538)</f>
        <v>q16212_1</v>
      </c>
      <c r="O538" s="48" t="str">
        <f>CONCATENATE(I538, ". ",E538)</f>
        <v>16212_1. القيمة المادية (أو تقدير قيمة المدفوعات العينية، إن وجدت)</v>
      </c>
      <c r="P538" s="31" t="str">
        <f>CONCATENATE(I538, ". ",B538)</f>
        <v>16212_1. Cash value (if in kind or grown, give estimated cash value)</v>
      </c>
      <c r="S538" s="31" t="str">
        <f>CONCATENATE($K537," &amp;&amp; ", $S$6)</f>
        <v>selected(data('q16212'), '1') &amp;&amp; selected(data('q16201'),'1') &amp;&amp; data('valid_overall') == 1</v>
      </c>
      <c r="Y538" s="9" t="b">
        <v>1</v>
      </c>
    </row>
    <row r="539" spans="1:25">
      <c r="E539" s="404"/>
      <c r="J539" s="140" t="s">
        <v>24</v>
      </c>
    </row>
    <row r="540" spans="1:25">
      <c r="E540" s="404"/>
      <c r="J540" s="21" t="s">
        <v>21</v>
      </c>
    </row>
    <row r="541" spans="1:25">
      <c r="E541" s="404"/>
      <c r="J541" s="9" t="s">
        <v>20</v>
      </c>
    </row>
    <row r="542" spans="1:25" ht="45">
      <c r="A542" s="45" t="str">
        <f>CONCATENATE("q",I542)</f>
        <v>q16213</v>
      </c>
      <c r="B542" s="9" t="s">
        <v>945</v>
      </c>
      <c r="D542" s="31" t="str">
        <f>CONCATENATE(INDEX(choices!D:D,MATCH(M542,choices!A:A,0)),"
",IF(M542=INDEX(choices!A:A,MATCH(M542,choices!A:A,0)+1),INDEX(choices!D:D,MATCH(M542,choices!A:A,0)+1),""),IF(M542=INDEX(choices!A:A,MATCH(M542,choices!A:A,0)+1), "
",""),IF(M542=INDEX(choices!A:A,MATCH(M542,choices!A:A,0)+2),INDEX(choices!D:D,MATCH(M542,choices!A:A,0)+2),""),IF(M542=INDEX(choices!A:A,MATCH(M542,choices!A:A,0)+2), "
",""),IF(M542=INDEX(choices!A:A,MATCH(M542,choices!A:A,0)+3),INDEX(choices!D:D,MATCH(M542,choices!A:A,0)+3),""),IF(M542=INDEX(choices!A:A,MATCH(M542,choices!A:A,0)+3), "
",""),IF(M542=INDEX(choices!A:A,MATCH(M542,choices!A:A,0)+4),INDEX(choices!D:D,MATCH(M542,choices!A:A,0)+4),""),IF(M542=INDEX(choices!A:A,MATCH(M542,choices!A:A,0)+4), "
",""),IF(M542=INDEX(choices!A:A,MATCH(M542,choices!A:A,0)+5),INDEX(choices!D:D,MATCH(M542,choices!A:A,0)+5),""),IF(M542=INDEX(choices!A:A,MATCH(M542,choices!A:A,0)+5), "
",""),IF(M542=INDEX(choices!A:A,MATCH(M542,choices!A:A,0)+6),INDEX(choices!D:D,MATCH(M542,choices!A:A,0)+6),""),IF(M542=INDEX(choices!A:A,MATCH(M542,choices!A:A,0)+6), "
",""),IF(M542=INDEX(choices!A:A,MATCH(M542,choices!A:A,0)+7),INDEX(choices!D:D,MATCH(M542,choices!A:A,0)+7),""),IF(M542=INDEX(choices!A:A,MATCH(M542,choices!A:A,0)+7), "
",""),IF(M542=INDEX(choices!A:A,MATCH(M542,choices!A:A,0)+8),INDEX(choices!D:D,MATCH(M542,choices!A:A,0)+8),""),IF(M542=INDEX(choices!A:A,MATCH(M542,choices!A:A,0)+8), "
",""),IF(M542=INDEX(choices!A:A,MATCH(M542,choices!A:A,0)+9),INDEX(choices!D:D,MATCH(M542,choices!A:A,0)+9),""),IF(M542=INDEX(choices!A:A,MATCH(M542,choices!A:A,0)+9), "
",""),IF(M542=INDEX(choices!A:A,MATCH(M542,choices!A:A,0)+10),INDEX(choices!D:D,MATCH(M542,choices!A:A,0)+10),""),IF(M542=INDEX(choices!A:A,MATCH(M542,choices!A:A,0)+10), "
",""),IF(M542=INDEX(choices!A:A,MATCH(M542,choices!A:A,0)+11),INDEX(choices!D:D,MATCH(M542,choices!A:A,0)+11),""),IF(M542=INDEX(choices!A:A,MATCH(M542,choices!A:A,0)+11), "
",""),IF(M542=INDEX(choices!A:A,MATCH(M542,choices!A:A,0)+12),INDEX(choices!D:D,MATCH(M542,choices!A:A,0)+12),""),IF(M542=INDEX(choices!A:A,MATCH(M542,choices!A:A,0)+12), "
",""),IF(M542=INDEX(choices!A:A,MATCH(M542,choices!A:A,0)+13),INDEX(choices!D:D,MATCH(M542,choices!A:A,0)+13),""),IF(M542=INDEX(choices!A:A,MATCH(M542,choices!A:A,0)+13), "
",""),IF(M542=INDEX(choices!A:A,MATCH(M542,choices!A:A,0)+14),INDEX(choices!D:D,MATCH(M542,choices!A:A,0)+14),""),IF(M542=INDEX(choices!A:A,MATCH(M542,choices!A:A,0)+14), "
",""),IF(M542=INDEX(choices!A:A,MATCH(M542,choices!A:A,0)+15),INDEX(choices!D:D,MATCH(M542,choices!A:A,0)+15),""),IF(M542=INDEX(choices!A:A,MATCH(M542,choices!A:A,0)+15), "
",""),IF(M542=INDEX(choices!A:A,MATCH(M542,choices!A:A,0)+16),INDEX(choices!D:D,MATCH(M542,choices!A:A,0)+16),""),IF(M542=INDEX(choices!A:A,MATCH(M542,choices!A:A,0)+16), "
",""),IF(M542=INDEX(choices!A:A,MATCH(M542,choices!A:A,0)+17),INDEX(choices!D:D,MATCH(M542,choices!A:A,0)+17),""),IF(M542=INDEX(choices!A:A,MATCH(M542,choices!A:A,0)+17), "
",""),IF(M542=INDEX(choices!A:A,MATCH(M542,choices!A:A,0)+18),INDEX(choices!D:D,MATCH(M542,choices!A:A,0)+18),""),IF(M542=INDEX(choices!A:A,MATCH(M542,choices!A:A,0)+18), "
",""),IF(M542=INDEX(choices!A:A,MATCH(M542,choices!A:A,0)+19),INDEX(choices!D:D,MATCH(M542,choices!A:A,0)+19),""),IF(M542=INDEX(choices!A:A,MATCH(M542,choices!A:A,0)+19), "
",""),IF(M542=INDEX(choices!A:A,MATCH(M542,choices!A:A,0)+20),INDEX(choices!D:D,MATCH(M542,choices!A:A,0)+20),""),IF(M542=INDEX(choices!A:A,MATCH(M542,choices!A:A,0)+20), "
",""))</f>
        <v xml:space="preserve">1. Yes
2. No
</v>
      </c>
      <c r="E542" s="30" t="s">
        <v>1399</v>
      </c>
      <c r="G542" s="67" t="str">
        <f>CONCATENATE(INDEX(choices!C:C,MATCH(M542,choices!A:A,0)),"
",IF(M542=INDEX(choices!A:A,MATCH(M542,choices!A:A,0)+1),INDEX(choices!C:C,MATCH(M542,choices!A:A,0)+1),""),IF(M542=INDEX(choices!A:A,MATCH(M542,choices!A:A,0)+1), "
",""),IF(M542=INDEX(choices!A:A,MATCH(M542,choices!A:A,0)+2),INDEX(choices!C:C,MATCH(M542,choices!A:A,0)+2),""),IF(M542=INDEX(choices!A:A,MATCH(M542,choices!A:A,0)+2), "
",""),IF(M542=INDEX(choices!A:A,MATCH(M542,choices!A:A,0)+3),INDEX(choices!C:C,MATCH(M542,choices!A:A,0)+3),""),IF(M542=INDEX(choices!A:A,MATCH(M542,choices!A:A,0)+3), "
",""),IF(M542=INDEX(choices!A:A,MATCH(M542,choices!A:A,0)+4),INDEX(choices!C:C,MATCH(M542,choices!A:A,0)+4),""),IF(M542=INDEX(choices!A:A,MATCH(M542,choices!A:A,0)+4), "
",""),IF(M542=INDEX(choices!A:A,MATCH(M542,choices!A:A,0)+5),INDEX(choices!C:C,MATCH(M542,choices!A:A,0)+5),""),IF(M542=INDEX(choices!A:A,MATCH(M542,choices!A:A,0)+5), "
",""),IF(M542=INDEX(choices!A:A,MATCH(M542,choices!A:A,0)+6),INDEX(choices!C:C,MATCH(M542,choices!A:A,0)+6),""),IF(M542=INDEX(choices!A:A,MATCH(M542,choices!A:A,0)+6), "
",""),IF(M542=INDEX(choices!A:A,MATCH(M542,choices!A:A,0)+7),INDEX(choices!C:C,MATCH(M542,choices!A:A,0)+7),""),IF(M542=INDEX(choices!A:A,MATCH(M542,choices!A:A,0)+7), "
",""),IF(M542=INDEX(choices!A:A,MATCH(M542,choices!A:A,0)+8),INDEX(choices!C:C,MATCH(M542,choices!A:A,0)+8),""),IF(M542=INDEX(choices!A:A,MATCH(M542,choices!A:A,0)+8), "
",""),IF(M542=INDEX(choices!A:A,MATCH(M542,choices!A:A,0)+9),INDEX(choices!C:C,MATCH(M542,choices!A:A,0)+9),""),IF(M542=INDEX(choices!A:A,MATCH(M542,choices!A:A,0)+9), "
",""),IF(M542=INDEX(choices!A:A,MATCH(M542,choices!A:A,0)+10),INDEX(choices!C:C,MATCH(M542,choices!A:A,0)+10),""),IF(M542=INDEX(choices!A:A,MATCH(M542,choices!A:A,0)+10), "
",""),IF(M542=INDEX(choices!A:A,MATCH(M542,choices!A:A,0)+11),INDEX(choices!C:C,MATCH(M542,choices!A:A,0)+11),""),IF(M542=INDEX(choices!A:A,MATCH(M542,choices!A:A,0)+11), "
",""),IF(M542=INDEX(choices!A:A,MATCH(M542,choices!A:A,0)+12),INDEX(choices!C:C,MATCH(M542,choices!A:A,0)+12),""),IF(M542=INDEX(choices!A:A,MATCH(M542,choices!A:A,0)+12), "
",""),IF(M542=INDEX(choices!A:A,MATCH(M542,choices!A:A,0)+13),INDEX(choices!C:C,MATCH(M542,choices!A:A,0)+13),""),IF(M542=INDEX(choices!A:A,MATCH(M542,choices!A:A,0)+13), "
",""),IF(M542=INDEX(choices!A:A,MATCH(M542,choices!A:A,0)+14),INDEX(choices!C:C,MATCH(M542,choices!A:A,0)+14),""),IF(M542=INDEX(choices!A:A,MATCH(M542,choices!A:A,0)+14), "
",""),IF(M542=INDEX(choices!A:A,MATCH(M542,choices!A:A,0)+15),INDEX(choices!C:C,MATCH(M542,choices!A:A,0)+15),""),IF(M542=INDEX(choices!A:A,MATCH(M542,choices!A:A,0)+15), "
",""),IF(M542=INDEX(choices!A:A,MATCH(M542,choices!A:A,0)+16),INDEX(choices!C:C,MATCH(M542,choices!A:A,0)+16),""),IF(M542=INDEX(choices!A:A,MATCH(M542,choices!A:A,0)+16), "
",""),IF(M542=INDEX(choices!A:A,MATCH(M542,choices!A:A,0)+17),INDEX(choices!C:C,MATCH(M542,choices!A:A,0)+17),""),IF(M542=INDEX(choices!A:A,MATCH(M542,choices!A:A,0)+17), "
",""),IF(M542=INDEX(choices!A:A,MATCH(M542,choices!A:A,0)+18),INDEX(choices!C:C,MATCH(M542,choices!A:A,0)+18),""),IF(M542=INDEX(choices!A:A,MATCH(M542,choices!A:A,0)+18), "
",""),IF(M542=INDEX(choices!A:A,MATCH(M542,choices!A:A,0)+19),INDEX(choices!C:C,MATCH(M542,choices!A:A,0)+19),""),IF(M542=INDEX(choices!A:A,MATCH(M542,choices!A:A,0)+19), "
",""),IF(M542=INDEX(choices!A:A,MATCH(M542,choices!A:A,0)+20),INDEX(choices!C:C,MATCH(M542,choices!A:A,0)+20),""),IF(M542=INDEX(choices!A:A,MATCH(M542,choices!A:A,0)+20), "
","")," ")</f>
        <v xml:space="preserve">1. نعم
2. لا
 </v>
      </c>
      <c r="I542" s="18">
        <f>I536+1</f>
        <v>16213</v>
      </c>
      <c r="L542" s="18" t="s">
        <v>170</v>
      </c>
      <c r="M542" s="9" t="s">
        <v>17</v>
      </c>
      <c r="N542" s="31" t="str">
        <f>CONCATENATE("q",I542)</f>
        <v>q16213</v>
      </c>
      <c r="O542" s="48" t="str">
        <f>CONCATENATE(I542, ". ",E542)</f>
        <v>16213. خدمات وأدوية بيطرية</v>
      </c>
      <c r="P542" s="31" t="str">
        <f>CONCATENATE(I542, ". ",B542)</f>
        <v>16213. verterinary services/medicine</v>
      </c>
      <c r="Q542" s="30" t="s">
        <v>1422</v>
      </c>
      <c r="R542" s="30" t="s">
        <v>1423</v>
      </c>
      <c r="S542" s="31" t="str">
        <f>CONCATENATE($K$527," &amp;&amp; ", $S$6)</f>
        <v>selected(data('q16201'),'1') &amp;&amp; data('valid_overall') == 1</v>
      </c>
      <c r="Y542" s="9" t="b">
        <v>1</v>
      </c>
    </row>
    <row r="543" spans="1:25">
      <c r="E543" s="404"/>
      <c r="J543" s="140" t="s">
        <v>23</v>
      </c>
      <c r="K543" s="9" t="str">
        <f>CONCATENATE("selected(data('",N542,"'), '1') &amp;&amp; ",K$527)</f>
        <v>selected(data('q16213'), '1') &amp;&amp; selected(data('q16201'),'1')</v>
      </c>
    </row>
    <row r="544" spans="1:25" ht="60">
      <c r="A544" s="45" t="str">
        <f>CONCATENATE("q",I544)</f>
        <v>q16213_1</v>
      </c>
      <c r="B544" s="2" t="s">
        <v>947</v>
      </c>
      <c r="C544" s="2"/>
      <c r="E544" s="30" t="s">
        <v>1397</v>
      </c>
      <c r="F544" s="2"/>
      <c r="I544" s="18" t="str">
        <f>CONCATENATE(I542,"_1")</f>
        <v>16213_1</v>
      </c>
      <c r="L544" s="18" t="s">
        <v>19</v>
      </c>
      <c r="N544" s="31" t="str">
        <f>CONCATENATE("q",I544)</f>
        <v>q16213_1</v>
      </c>
      <c r="O544" s="48" t="str">
        <f>CONCATENATE(I544, ". ",E544)</f>
        <v>16213_1. القيمة المادية (أو تقدير قيمة المدفوعات العينية، إن وجدت)</v>
      </c>
      <c r="P544" s="31" t="str">
        <f>CONCATENATE(I544, ". ",B544)</f>
        <v>16213_1. Cash value (if in kind or grown, give estimated cash value)</v>
      </c>
      <c r="S544" s="31" t="str">
        <f>CONCATENATE($K543," &amp;&amp; ", $S$6)</f>
        <v>selected(data('q16213'), '1') &amp;&amp; selected(data('q16201'),'1') &amp;&amp; data('valid_overall') == 1</v>
      </c>
      <c r="Y544" s="9" t="b">
        <v>1</v>
      </c>
    </row>
    <row r="545" spans="1:27">
      <c r="E545" s="404"/>
      <c r="J545" s="140" t="s">
        <v>24</v>
      </c>
    </row>
    <row r="546" spans="1:27">
      <c r="E546" s="404"/>
      <c r="J546" s="21" t="s">
        <v>21</v>
      </c>
    </row>
    <row r="547" spans="1:27">
      <c r="E547" s="404"/>
      <c r="J547" s="9" t="s">
        <v>20</v>
      </c>
    </row>
    <row r="548" spans="1:27" ht="45">
      <c r="A548" s="45" t="str">
        <f>CONCATENATE("q",I548)</f>
        <v>q16214</v>
      </c>
      <c r="B548" s="9" t="s">
        <v>946</v>
      </c>
      <c r="D548" s="31" t="str">
        <f>CONCATENATE(INDEX(choices!D:D,MATCH(M548,choices!A:A,0)),"
",IF(M548=INDEX(choices!A:A,MATCH(M548,choices!A:A,0)+1),INDEX(choices!D:D,MATCH(M548,choices!A:A,0)+1),""),IF(M548=INDEX(choices!A:A,MATCH(M548,choices!A:A,0)+1), "
",""),IF(M548=INDEX(choices!A:A,MATCH(M548,choices!A:A,0)+2),INDEX(choices!D:D,MATCH(M548,choices!A:A,0)+2),""),IF(M548=INDEX(choices!A:A,MATCH(M548,choices!A:A,0)+2), "
",""),IF(M548=INDEX(choices!A:A,MATCH(M548,choices!A:A,0)+3),INDEX(choices!D:D,MATCH(M548,choices!A:A,0)+3),""),IF(M548=INDEX(choices!A:A,MATCH(M548,choices!A:A,0)+3), "
",""),IF(M548=INDEX(choices!A:A,MATCH(M548,choices!A:A,0)+4),INDEX(choices!D:D,MATCH(M548,choices!A:A,0)+4),""),IF(M548=INDEX(choices!A:A,MATCH(M548,choices!A:A,0)+4), "
",""),IF(M548=INDEX(choices!A:A,MATCH(M548,choices!A:A,0)+5),INDEX(choices!D:D,MATCH(M548,choices!A:A,0)+5),""),IF(M548=INDEX(choices!A:A,MATCH(M548,choices!A:A,0)+5), "
",""),IF(M548=INDEX(choices!A:A,MATCH(M548,choices!A:A,0)+6),INDEX(choices!D:D,MATCH(M548,choices!A:A,0)+6),""),IF(M548=INDEX(choices!A:A,MATCH(M548,choices!A:A,0)+6), "
",""),IF(M548=INDEX(choices!A:A,MATCH(M548,choices!A:A,0)+7),INDEX(choices!D:D,MATCH(M548,choices!A:A,0)+7),""),IF(M548=INDEX(choices!A:A,MATCH(M548,choices!A:A,0)+7), "
",""),IF(M548=INDEX(choices!A:A,MATCH(M548,choices!A:A,0)+8),INDEX(choices!D:D,MATCH(M548,choices!A:A,0)+8),""),IF(M548=INDEX(choices!A:A,MATCH(M548,choices!A:A,0)+8), "
",""),IF(M548=INDEX(choices!A:A,MATCH(M548,choices!A:A,0)+9),INDEX(choices!D:D,MATCH(M548,choices!A:A,0)+9),""),IF(M548=INDEX(choices!A:A,MATCH(M548,choices!A:A,0)+9), "
",""),IF(M548=INDEX(choices!A:A,MATCH(M548,choices!A:A,0)+10),INDEX(choices!D:D,MATCH(M548,choices!A:A,0)+10),""),IF(M548=INDEX(choices!A:A,MATCH(M548,choices!A:A,0)+10), "
",""),IF(M548=INDEX(choices!A:A,MATCH(M548,choices!A:A,0)+11),INDEX(choices!D:D,MATCH(M548,choices!A:A,0)+11),""),IF(M548=INDEX(choices!A:A,MATCH(M548,choices!A:A,0)+11), "
",""),IF(M548=INDEX(choices!A:A,MATCH(M548,choices!A:A,0)+12),INDEX(choices!D:D,MATCH(M548,choices!A:A,0)+12),""),IF(M548=INDEX(choices!A:A,MATCH(M548,choices!A:A,0)+12), "
",""),IF(M548=INDEX(choices!A:A,MATCH(M548,choices!A:A,0)+13),INDEX(choices!D:D,MATCH(M548,choices!A:A,0)+13),""),IF(M548=INDEX(choices!A:A,MATCH(M548,choices!A:A,0)+13), "
",""),IF(M548=INDEX(choices!A:A,MATCH(M548,choices!A:A,0)+14),INDEX(choices!D:D,MATCH(M548,choices!A:A,0)+14),""),IF(M548=INDEX(choices!A:A,MATCH(M548,choices!A:A,0)+14), "
",""),IF(M548=INDEX(choices!A:A,MATCH(M548,choices!A:A,0)+15),INDEX(choices!D:D,MATCH(M548,choices!A:A,0)+15),""),IF(M548=INDEX(choices!A:A,MATCH(M548,choices!A:A,0)+15), "
",""),IF(M548=INDEX(choices!A:A,MATCH(M548,choices!A:A,0)+16),INDEX(choices!D:D,MATCH(M548,choices!A:A,0)+16),""),IF(M548=INDEX(choices!A:A,MATCH(M548,choices!A:A,0)+16), "
",""),IF(M548=INDEX(choices!A:A,MATCH(M548,choices!A:A,0)+17),INDEX(choices!D:D,MATCH(M548,choices!A:A,0)+17),""),IF(M548=INDEX(choices!A:A,MATCH(M548,choices!A:A,0)+17), "
",""),IF(M548=INDEX(choices!A:A,MATCH(M548,choices!A:A,0)+18),INDEX(choices!D:D,MATCH(M548,choices!A:A,0)+18),""),IF(M548=INDEX(choices!A:A,MATCH(M548,choices!A:A,0)+18), "
",""),IF(M548=INDEX(choices!A:A,MATCH(M548,choices!A:A,0)+19),INDEX(choices!D:D,MATCH(M548,choices!A:A,0)+19),""),IF(M548=INDEX(choices!A:A,MATCH(M548,choices!A:A,0)+19), "
",""),IF(M548=INDEX(choices!A:A,MATCH(M548,choices!A:A,0)+20),INDEX(choices!D:D,MATCH(M548,choices!A:A,0)+20),""),IF(M548=INDEX(choices!A:A,MATCH(M548,choices!A:A,0)+20), "
",""))</f>
        <v xml:space="preserve">1. Yes
2. No
</v>
      </c>
      <c r="E548" s="404" t="s">
        <v>1400</v>
      </c>
      <c r="G548" s="67" t="str">
        <f>CONCATENATE(INDEX(choices!C:C,MATCH(M548,choices!A:A,0)),"
",IF(M548=INDEX(choices!A:A,MATCH(M548,choices!A:A,0)+1),INDEX(choices!C:C,MATCH(M548,choices!A:A,0)+1),""),IF(M548=INDEX(choices!A:A,MATCH(M548,choices!A:A,0)+1), "
",""),IF(M548=INDEX(choices!A:A,MATCH(M548,choices!A:A,0)+2),INDEX(choices!C:C,MATCH(M548,choices!A:A,0)+2),""),IF(M548=INDEX(choices!A:A,MATCH(M548,choices!A:A,0)+2), "
",""),IF(M548=INDEX(choices!A:A,MATCH(M548,choices!A:A,0)+3),INDEX(choices!C:C,MATCH(M548,choices!A:A,0)+3),""),IF(M548=INDEX(choices!A:A,MATCH(M548,choices!A:A,0)+3), "
",""),IF(M548=INDEX(choices!A:A,MATCH(M548,choices!A:A,0)+4),INDEX(choices!C:C,MATCH(M548,choices!A:A,0)+4),""),IF(M548=INDEX(choices!A:A,MATCH(M548,choices!A:A,0)+4), "
",""),IF(M548=INDEX(choices!A:A,MATCH(M548,choices!A:A,0)+5),INDEX(choices!C:C,MATCH(M548,choices!A:A,0)+5),""),IF(M548=INDEX(choices!A:A,MATCH(M548,choices!A:A,0)+5), "
",""),IF(M548=INDEX(choices!A:A,MATCH(M548,choices!A:A,0)+6),INDEX(choices!C:C,MATCH(M548,choices!A:A,0)+6),""),IF(M548=INDEX(choices!A:A,MATCH(M548,choices!A:A,0)+6), "
",""),IF(M548=INDEX(choices!A:A,MATCH(M548,choices!A:A,0)+7),INDEX(choices!C:C,MATCH(M548,choices!A:A,0)+7),""),IF(M548=INDEX(choices!A:A,MATCH(M548,choices!A:A,0)+7), "
",""),IF(M548=INDEX(choices!A:A,MATCH(M548,choices!A:A,0)+8),INDEX(choices!C:C,MATCH(M548,choices!A:A,0)+8),""),IF(M548=INDEX(choices!A:A,MATCH(M548,choices!A:A,0)+8), "
",""),IF(M548=INDEX(choices!A:A,MATCH(M548,choices!A:A,0)+9),INDEX(choices!C:C,MATCH(M548,choices!A:A,0)+9),""),IF(M548=INDEX(choices!A:A,MATCH(M548,choices!A:A,0)+9), "
",""),IF(M548=INDEX(choices!A:A,MATCH(M548,choices!A:A,0)+10),INDEX(choices!C:C,MATCH(M548,choices!A:A,0)+10),""),IF(M548=INDEX(choices!A:A,MATCH(M548,choices!A:A,0)+10), "
",""),IF(M548=INDEX(choices!A:A,MATCH(M548,choices!A:A,0)+11),INDEX(choices!C:C,MATCH(M548,choices!A:A,0)+11),""),IF(M548=INDEX(choices!A:A,MATCH(M548,choices!A:A,0)+11), "
",""),IF(M548=INDEX(choices!A:A,MATCH(M548,choices!A:A,0)+12),INDEX(choices!C:C,MATCH(M548,choices!A:A,0)+12),""),IF(M548=INDEX(choices!A:A,MATCH(M548,choices!A:A,0)+12), "
",""),IF(M548=INDEX(choices!A:A,MATCH(M548,choices!A:A,0)+13),INDEX(choices!C:C,MATCH(M548,choices!A:A,0)+13),""),IF(M548=INDEX(choices!A:A,MATCH(M548,choices!A:A,0)+13), "
",""),IF(M548=INDEX(choices!A:A,MATCH(M548,choices!A:A,0)+14),INDEX(choices!C:C,MATCH(M548,choices!A:A,0)+14),""),IF(M548=INDEX(choices!A:A,MATCH(M548,choices!A:A,0)+14), "
",""),IF(M548=INDEX(choices!A:A,MATCH(M548,choices!A:A,0)+15),INDEX(choices!C:C,MATCH(M548,choices!A:A,0)+15),""),IF(M548=INDEX(choices!A:A,MATCH(M548,choices!A:A,0)+15), "
",""),IF(M548=INDEX(choices!A:A,MATCH(M548,choices!A:A,0)+16),INDEX(choices!C:C,MATCH(M548,choices!A:A,0)+16),""),IF(M548=INDEX(choices!A:A,MATCH(M548,choices!A:A,0)+16), "
",""),IF(M548=INDEX(choices!A:A,MATCH(M548,choices!A:A,0)+17),INDEX(choices!C:C,MATCH(M548,choices!A:A,0)+17),""),IF(M548=INDEX(choices!A:A,MATCH(M548,choices!A:A,0)+17), "
",""),IF(M548=INDEX(choices!A:A,MATCH(M548,choices!A:A,0)+18),INDEX(choices!C:C,MATCH(M548,choices!A:A,0)+18),""),IF(M548=INDEX(choices!A:A,MATCH(M548,choices!A:A,0)+18), "
",""),IF(M548=INDEX(choices!A:A,MATCH(M548,choices!A:A,0)+19),INDEX(choices!C:C,MATCH(M548,choices!A:A,0)+19),""),IF(M548=INDEX(choices!A:A,MATCH(M548,choices!A:A,0)+19), "
",""),IF(M548=INDEX(choices!A:A,MATCH(M548,choices!A:A,0)+20),INDEX(choices!C:C,MATCH(M548,choices!A:A,0)+20),""),IF(M548=INDEX(choices!A:A,MATCH(M548,choices!A:A,0)+20), "
","")," ")</f>
        <v xml:space="preserve">1. نعم
2. لا
 </v>
      </c>
      <c r="I548" s="18">
        <f>I542+1</f>
        <v>16214</v>
      </c>
      <c r="L548" s="18" t="s">
        <v>170</v>
      </c>
      <c r="M548" s="9" t="s">
        <v>17</v>
      </c>
      <c r="N548" s="31" t="str">
        <f>CONCATENATE("q",I548)</f>
        <v>q16214</v>
      </c>
      <c r="O548" s="48" t="str">
        <f>CONCATENATE(I548, ". ",E548)</f>
        <v>16214. زراعة العلف (مثل البرسيم)</v>
      </c>
      <c r="P548" s="31" t="str">
        <f>CONCATENATE(I548, ". ",B548)</f>
        <v>16214. growing own feed (for example, clover)</v>
      </c>
      <c r="Q548" s="30" t="s">
        <v>1422</v>
      </c>
      <c r="R548" s="30" t="s">
        <v>1423</v>
      </c>
      <c r="S548" s="31" t="str">
        <f>CONCATENATE($K$527," &amp;&amp; ", $S$6)</f>
        <v>selected(data('q16201'),'1') &amp;&amp; data('valid_overall') == 1</v>
      </c>
      <c r="Y548" s="9" t="b">
        <v>1</v>
      </c>
    </row>
    <row r="549" spans="1:27">
      <c r="E549" s="404"/>
      <c r="J549" s="140" t="s">
        <v>23</v>
      </c>
      <c r="K549" s="9" t="str">
        <f>CONCATENATE("selected(data('",N548,"'), '1') &amp;&amp; ",K$527)</f>
        <v>selected(data('q16214'), '1') &amp;&amp; selected(data('q16201'),'1')</v>
      </c>
    </row>
    <row r="550" spans="1:27" ht="60">
      <c r="A550" s="45" t="str">
        <f>CONCATENATE("q",I550)</f>
        <v>q16214_1</v>
      </c>
      <c r="B550" s="2" t="s">
        <v>947</v>
      </c>
      <c r="C550" s="2"/>
      <c r="E550" s="30" t="s">
        <v>1397</v>
      </c>
      <c r="F550" s="2"/>
      <c r="I550" s="18" t="str">
        <f>CONCATENATE(I548,"_1")</f>
        <v>16214_1</v>
      </c>
      <c r="L550" s="18" t="s">
        <v>19</v>
      </c>
      <c r="N550" s="31" t="str">
        <f>CONCATENATE("q",I550)</f>
        <v>q16214_1</v>
      </c>
      <c r="O550" s="48" t="str">
        <f>CONCATENATE(I550, ". ",E550)</f>
        <v>16214_1. القيمة المادية (أو تقدير قيمة المدفوعات العينية، إن وجدت)</v>
      </c>
      <c r="P550" s="31" t="str">
        <f>CONCATENATE(I550, ". ",B550)</f>
        <v>16214_1. Cash value (if in kind or grown, give estimated cash value)</v>
      </c>
      <c r="S550" s="31" t="str">
        <f>CONCATENATE($K549," &amp;&amp; ", $S$6)</f>
        <v>selected(data('q16214'), '1') &amp;&amp; selected(data('q16201'),'1') &amp;&amp; data('valid_overall') == 1</v>
      </c>
      <c r="Y550" s="9" t="b">
        <v>1</v>
      </c>
    </row>
    <row r="551" spans="1:27">
      <c r="E551" s="404"/>
      <c r="J551" s="140" t="s">
        <v>24</v>
      </c>
    </row>
    <row r="552" spans="1:27">
      <c r="E552" s="404"/>
      <c r="J552" s="21" t="s">
        <v>21</v>
      </c>
    </row>
    <row r="553" spans="1:27">
      <c r="E553" s="404"/>
      <c r="J553" s="9" t="s">
        <v>20</v>
      </c>
    </row>
    <row r="554" spans="1:27" ht="45">
      <c r="A554" s="45" t="str">
        <f>CONCATENATE("q",I554)</f>
        <v>q16215</v>
      </c>
      <c r="B554" s="9" t="s">
        <v>891</v>
      </c>
      <c r="D554" s="31" t="str">
        <f>CONCATENATE(INDEX(choices!D:D,MATCH(M554,choices!A:A,0)),"
",IF(M554=INDEX(choices!A:A,MATCH(M554,choices!A:A,0)+1),INDEX(choices!D:D,MATCH(M554,choices!A:A,0)+1),""),IF(M554=INDEX(choices!A:A,MATCH(M554,choices!A:A,0)+1), "
",""),IF(M554=INDEX(choices!A:A,MATCH(M554,choices!A:A,0)+2),INDEX(choices!D:D,MATCH(M554,choices!A:A,0)+2),""),IF(M554=INDEX(choices!A:A,MATCH(M554,choices!A:A,0)+2), "
",""),IF(M554=INDEX(choices!A:A,MATCH(M554,choices!A:A,0)+3),INDEX(choices!D:D,MATCH(M554,choices!A:A,0)+3),""),IF(M554=INDEX(choices!A:A,MATCH(M554,choices!A:A,0)+3), "
",""),IF(M554=INDEX(choices!A:A,MATCH(M554,choices!A:A,0)+4),INDEX(choices!D:D,MATCH(M554,choices!A:A,0)+4),""),IF(M554=INDEX(choices!A:A,MATCH(M554,choices!A:A,0)+4), "
",""),IF(M554=INDEX(choices!A:A,MATCH(M554,choices!A:A,0)+5),INDEX(choices!D:D,MATCH(M554,choices!A:A,0)+5),""),IF(M554=INDEX(choices!A:A,MATCH(M554,choices!A:A,0)+5), "
",""),IF(M554=INDEX(choices!A:A,MATCH(M554,choices!A:A,0)+6),INDEX(choices!D:D,MATCH(M554,choices!A:A,0)+6),""),IF(M554=INDEX(choices!A:A,MATCH(M554,choices!A:A,0)+6), "
",""),IF(M554=INDEX(choices!A:A,MATCH(M554,choices!A:A,0)+7),INDEX(choices!D:D,MATCH(M554,choices!A:A,0)+7),""),IF(M554=INDEX(choices!A:A,MATCH(M554,choices!A:A,0)+7), "
",""),IF(M554=INDEX(choices!A:A,MATCH(M554,choices!A:A,0)+8),INDEX(choices!D:D,MATCH(M554,choices!A:A,0)+8),""),IF(M554=INDEX(choices!A:A,MATCH(M554,choices!A:A,0)+8), "
",""),IF(M554=INDEX(choices!A:A,MATCH(M554,choices!A:A,0)+9),INDEX(choices!D:D,MATCH(M554,choices!A:A,0)+9),""),IF(M554=INDEX(choices!A:A,MATCH(M554,choices!A:A,0)+9), "
",""),IF(M554=INDEX(choices!A:A,MATCH(M554,choices!A:A,0)+10),INDEX(choices!D:D,MATCH(M554,choices!A:A,0)+10),""),IF(M554=INDEX(choices!A:A,MATCH(M554,choices!A:A,0)+10), "
",""),IF(M554=INDEX(choices!A:A,MATCH(M554,choices!A:A,0)+11),INDEX(choices!D:D,MATCH(M554,choices!A:A,0)+11),""),IF(M554=INDEX(choices!A:A,MATCH(M554,choices!A:A,0)+11), "
",""),IF(M554=INDEX(choices!A:A,MATCH(M554,choices!A:A,0)+12),INDEX(choices!D:D,MATCH(M554,choices!A:A,0)+12),""),IF(M554=INDEX(choices!A:A,MATCH(M554,choices!A:A,0)+12), "
",""),IF(M554=INDEX(choices!A:A,MATCH(M554,choices!A:A,0)+13),INDEX(choices!D:D,MATCH(M554,choices!A:A,0)+13),""),IF(M554=INDEX(choices!A:A,MATCH(M554,choices!A:A,0)+13), "
",""),IF(M554=INDEX(choices!A:A,MATCH(M554,choices!A:A,0)+14),INDEX(choices!D:D,MATCH(M554,choices!A:A,0)+14),""),IF(M554=INDEX(choices!A:A,MATCH(M554,choices!A:A,0)+14), "
",""),IF(M554=INDEX(choices!A:A,MATCH(M554,choices!A:A,0)+15),INDEX(choices!D:D,MATCH(M554,choices!A:A,0)+15),""),IF(M554=INDEX(choices!A:A,MATCH(M554,choices!A:A,0)+15), "
",""),IF(M554=INDEX(choices!A:A,MATCH(M554,choices!A:A,0)+16),INDEX(choices!D:D,MATCH(M554,choices!A:A,0)+16),""),IF(M554=INDEX(choices!A:A,MATCH(M554,choices!A:A,0)+16), "
",""),IF(M554=INDEX(choices!A:A,MATCH(M554,choices!A:A,0)+17),INDEX(choices!D:D,MATCH(M554,choices!A:A,0)+17),""),IF(M554=INDEX(choices!A:A,MATCH(M554,choices!A:A,0)+17), "
",""),IF(M554=INDEX(choices!A:A,MATCH(M554,choices!A:A,0)+18),INDEX(choices!D:D,MATCH(M554,choices!A:A,0)+18),""),IF(M554=INDEX(choices!A:A,MATCH(M554,choices!A:A,0)+18), "
",""),IF(M554=INDEX(choices!A:A,MATCH(M554,choices!A:A,0)+19),INDEX(choices!D:D,MATCH(M554,choices!A:A,0)+19),""),IF(M554=INDEX(choices!A:A,MATCH(M554,choices!A:A,0)+19), "
",""),IF(M554=INDEX(choices!A:A,MATCH(M554,choices!A:A,0)+20),INDEX(choices!D:D,MATCH(M554,choices!A:A,0)+20),""),IF(M554=INDEX(choices!A:A,MATCH(M554,choices!A:A,0)+20), "
",""))</f>
        <v xml:space="preserve">1. Yes
2. No
</v>
      </c>
      <c r="E554" s="404" t="s">
        <v>1401</v>
      </c>
      <c r="G554" s="67" t="str">
        <f>CONCATENATE(INDEX(choices!C:C,MATCH(M554,choices!A:A,0)),"
",IF(M554=INDEX(choices!A:A,MATCH(M554,choices!A:A,0)+1),INDEX(choices!C:C,MATCH(M554,choices!A:A,0)+1),""),IF(M554=INDEX(choices!A:A,MATCH(M554,choices!A:A,0)+1), "
",""),IF(M554=INDEX(choices!A:A,MATCH(M554,choices!A:A,0)+2),INDEX(choices!C:C,MATCH(M554,choices!A:A,0)+2),""),IF(M554=INDEX(choices!A:A,MATCH(M554,choices!A:A,0)+2), "
",""),IF(M554=INDEX(choices!A:A,MATCH(M554,choices!A:A,0)+3),INDEX(choices!C:C,MATCH(M554,choices!A:A,0)+3),""),IF(M554=INDEX(choices!A:A,MATCH(M554,choices!A:A,0)+3), "
",""),IF(M554=INDEX(choices!A:A,MATCH(M554,choices!A:A,0)+4),INDEX(choices!C:C,MATCH(M554,choices!A:A,0)+4),""),IF(M554=INDEX(choices!A:A,MATCH(M554,choices!A:A,0)+4), "
",""),IF(M554=INDEX(choices!A:A,MATCH(M554,choices!A:A,0)+5),INDEX(choices!C:C,MATCH(M554,choices!A:A,0)+5),""),IF(M554=INDEX(choices!A:A,MATCH(M554,choices!A:A,0)+5), "
",""),IF(M554=INDEX(choices!A:A,MATCH(M554,choices!A:A,0)+6),INDEX(choices!C:C,MATCH(M554,choices!A:A,0)+6),""),IF(M554=INDEX(choices!A:A,MATCH(M554,choices!A:A,0)+6), "
",""),IF(M554=INDEX(choices!A:A,MATCH(M554,choices!A:A,0)+7),INDEX(choices!C:C,MATCH(M554,choices!A:A,0)+7),""),IF(M554=INDEX(choices!A:A,MATCH(M554,choices!A:A,0)+7), "
",""),IF(M554=INDEX(choices!A:A,MATCH(M554,choices!A:A,0)+8),INDEX(choices!C:C,MATCH(M554,choices!A:A,0)+8),""),IF(M554=INDEX(choices!A:A,MATCH(M554,choices!A:A,0)+8), "
",""),IF(M554=INDEX(choices!A:A,MATCH(M554,choices!A:A,0)+9),INDEX(choices!C:C,MATCH(M554,choices!A:A,0)+9),""),IF(M554=INDEX(choices!A:A,MATCH(M554,choices!A:A,0)+9), "
",""),IF(M554=INDEX(choices!A:A,MATCH(M554,choices!A:A,0)+10),INDEX(choices!C:C,MATCH(M554,choices!A:A,0)+10),""),IF(M554=INDEX(choices!A:A,MATCH(M554,choices!A:A,0)+10), "
",""),IF(M554=INDEX(choices!A:A,MATCH(M554,choices!A:A,0)+11),INDEX(choices!C:C,MATCH(M554,choices!A:A,0)+11),""),IF(M554=INDEX(choices!A:A,MATCH(M554,choices!A:A,0)+11), "
",""),IF(M554=INDEX(choices!A:A,MATCH(M554,choices!A:A,0)+12),INDEX(choices!C:C,MATCH(M554,choices!A:A,0)+12),""),IF(M554=INDEX(choices!A:A,MATCH(M554,choices!A:A,0)+12), "
",""),IF(M554=INDEX(choices!A:A,MATCH(M554,choices!A:A,0)+13),INDEX(choices!C:C,MATCH(M554,choices!A:A,0)+13),""),IF(M554=INDEX(choices!A:A,MATCH(M554,choices!A:A,0)+13), "
",""),IF(M554=INDEX(choices!A:A,MATCH(M554,choices!A:A,0)+14),INDEX(choices!C:C,MATCH(M554,choices!A:A,0)+14),""),IF(M554=INDEX(choices!A:A,MATCH(M554,choices!A:A,0)+14), "
",""),IF(M554=INDEX(choices!A:A,MATCH(M554,choices!A:A,0)+15),INDEX(choices!C:C,MATCH(M554,choices!A:A,0)+15),""),IF(M554=INDEX(choices!A:A,MATCH(M554,choices!A:A,0)+15), "
",""),IF(M554=INDEX(choices!A:A,MATCH(M554,choices!A:A,0)+16),INDEX(choices!C:C,MATCH(M554,choices!A:A,0)+16),""),IF(M554=INDEX(choices!A:A,MATCH(M554,choices!A:A,0)+16), "
",""),IF(M554=INDEX(choices!A:A,MATCH(M554,choices!A:A,0)+17),INDEX(choices!C:C,MATCH(M554,choices!A:A,0)+17),""),IF(M554=INDEX(choices!A:A,MATCH(M554,choices!A:A,0)+17), "
",""),IF(M554=INDEX(choices!A:A,MATCH(M554,choices!A:A,0)+18),INDEX(choices!C:C,MATCH(M554,choices!A:A,0)+18),""),IF(M554=INDEX(choices!A:A,MATCH(M554,choices!A:A,0)+18), "
",""),IF(M554=INDEX(choices!A:A,MATCH(M554,choices!A:A,0)+19),INDEX(choices!C:C,MATCH(M554,choices!A:A,0)+19),""),IF(M554=INDEX(choices!A:A,MATCH(M554,choices!A:A,0)+19), "
",""),IF(M554=INDEX(choices!A:A,MATCH(M554,choices!A:A,0)+20),INDEX(choices!C:C,MATCH(M554,choices!A:A,0)+20),""),IF(M554=INDEX(choices!A:A,MATCH(M554,choices!A:A,0)+20), "
","")," ")</f>
        <v xml:space="preserve">1. نعم
2. لا
 </v>
      </c>
      <c r="I554" s="18">
        <f>I548+1</f>
        <v>16215</v>
      </c>
      <c r="L554" s="18" t="s">
        <v>170</v>
      </c>
      <c r="M554" s="9" t="s">
        <v>17</v>
      </c>
      <c r="N554" s="31" t="str">
        <f>CONCATENATE("q",I554)</f>
        <v>q16215</v>
      </c>
      <c r="O554" s="48" t="str">
        <f>CONCATENATE(I554, ". ",E554)</f>
        <v>16215. مدفوعات أخرى (حدد):</v>
      </c>
      <c r="P554" s="31" t="str">
        <f>CONCATENATE(I554, ". ",B554)</f>
        <v>16215. other (specify)</v>
      </c>
      <c r="Q554" s="30" t="s">
        <v>1422</v>
      </c>
      <c r="R554" s="30" t="s">
        <v>1423</v>
      </c>
      <c r="S554" s="31" t="str">
        <f>CONCATENATE($K$527," &amp;&amp; ", $S$6)</f>
        <v>selected(data('q16201'),'1') &amp;&amp; data('valid_overall') == 1</v>
      </c>
      <c r="Y554" s="9" t="b">
        <v>1</v>
      </c>
    </row>
    <row r="555" spans="1:27">
      <c r="E555" s="404"/>
      <c r="J555" s="140" t="s">
        <v>23</v>
      </c>
      <c r="K555" s="9" t="str">
        <f>CONCATENATE("selected(data('",N554,"'), '1') &amp;&amp; ",K$527)</f>
        <v>selected(data('q16215'), '1') &amp;&amp; selected(data('q16201'),'1')</v>
      </c>
    </row>
    <row r="556" spans="1:27" s="1" customFormat="1" ht="45">
      <c r="A556" s="45" t="str">
        <f>CONCATENATE("q",I556)</f>
        <v>q16215_other</v>
      </c>
      <c r="B556" s="129" t="s">
        <v>393</v>
      </c>
      <c r="C556" s="129"/>
      <c r="D556" s="28"/>
      <c r="E556" s="138" t="s">
        <v>1088</v>
      </c>
      <c r="F556" s="138"/>
      <c r="G556" s="133"/>
      <c r="H556" s="133"/>
      <c r="I556" s="14" t="str">
        <f>CONCATENATE(I554,"_other")</f>
        <v>16215_other</v>
      </c>
      <c r="J556" s="43"/>
      <c r="K556" s="28"/>
      <c r="L556" s="19" t="s">
        <v>8</v>
      </c>
      <c r="M556" s="12"/>
      <c r="N556" s="14" t="str">
        <f>CONCATENATE("q",I556)</f>
        <v>q16215_other</v>
      </c>
      <c r="O556" s="86" t="str">
        <f>CONCATENATE(I556,". ",E556)</f>
        <v>16215_other. أخرى</v>
      </c>
      <c r="P556" s="86" t="str">
        <f>CONCATENATE($I556,". ",B556)</f>
        <v xml:space="preserve">16215_other. Other: </v>
      </c>
      <c r="R556" s="28"/>
      <c r="S556" s="31" t="str">
        <f>CONCATENATE(K555," &amp;&amp; ", $S$6)</f>
        <v>selected(data('q16215'), '1') &amp;&amp; selected(data('q16201'),'1') &amp;&amp; data('valid_overall') == 1</v>
      </c>
      <c r="T556" s="28"/>
      <c r="W556" s="64"/>
      <c r="X556" s="28"/>
      <c r="Y556" s="14" t="b">
        <v>1</v>
      </c>
      <c r="Z556" s="19"/>
      <c r="AA556" s="14"/>
    </row>
    <row r="557" spans="1:27" ht="60">
      <c r="A557" s="45" t="str">
        <f>CONCATENATE("q",I557)</f>
        <v>q16215_1</v>
      </c>
      <c r="B557" s="2" t="s">
        <v>947</v>
      </c>
      <c r="C557" s="2"/>
      <c r="E557" s="30" t="s">
        <v>1397</v>
      </c>
      <c r="F557" s="2"/>
      <c r="I557" s="18" t="str">
        <f>CONCATENATE(I554,"_1")</f>
        <v>16215_1</v>
      </c>
      <c r="L557" s="18" t="s">
        <v>19</v>
      </c>
      <c r="N557" s="31" t="str">
        <f>CONCATENATE("q",I557)</f>
        <v>q16215_1</v>
      </c>
      <c r="O557" s="48" t="str">
        <f>CONCATENATE(I557, ". ",E557)</f>
        <v>16215_1. القيمة المادية (أو تقدير قيمة المدفوعات العينية، إن وجدت)</v>
      </c>
      <c r="P557" s="31" t="str">
        <f>CONCATENATE(I557, ". ",B557)</f>
        <v>16215_1. Cash value (if in kind or grown, give estimated cash value)</v>
      </c>
      <c r="S557" s="31" t="str">
        <f>CONCATENATE($K555," &amp;&amp; ", $S$6)</f>
        <v>selected(data('q16215'), '1') &amp;&amp; selected(data('q16201'),'1') &amp;&amp; data('valid_overall') == 1</v>
      </c>
      <c r="Y557" s="9" t="b">
        <v>1</v>
      </c>
    </row>
    <row r="558" spans="1:27" s="1" customFormat="1">
      <c r="A558" s="28"/>
      <c r="B558" s="129"/>
      <c r="C558" s="129"/>
      <c r="D558" s="28"/>
      <c r="E558" s="138"/>
      <c r="F558" s="138"/>
      <c r="G558" s="133"/>
      <c r="H558" s="134"/>
      <c r="I558" s="14"/>
      <c r="J558" s="140" t="s">
        <v>24</v>
      </c>
      <c r="K558" s="28"/>
      <c r="L558" s="19"/>
      <c r="M558" s="12"/>
      <c r="N558" s="14"/>
      <c r="O558" s="48"/>
      <c r="P558" s="31"/>
      <c r="Q558" s="31"/>
      <c r="R558" s="28"/>
      <c r="S558" s="6"/>
      <c r="T558" s="28"/>
      <c r="V558" s="14"/>
      <c r="W558" s="31"/>
      <c r="X558" s="28"/>
      <c r="Y558" s="14"/>
      <c r="Z558" s="14"/>
      <c r="AA558" s="14"/>
    </row>
    <row r="559" spans="1:27">
      <c r="J559" s="9" t="s">
        <v>21</v>
      </c>
    </row>
    <row r="560" spans="1:27">
      <c r="J560" s="139" t="s">
        <v>24</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1"/>
  <sheetViews>
    <sheetView topLeftCell="H1" workbookViewId="0">
      <pane ySplit="2" topLeftCell="A334" activePane="bottomLeft" state="frozen"/>
      <selection pane="bottomLeft" activeCell="A33" sqref="A33"/>
    </sheetView>
  </sheetViews>
  <sheetFormatPr defaultColWidth="8.85546875" defaultRowHeight="15"/>
  <cols>
    <col min="1" max="1" width="10.42578125" style="9" bestFit="1" customWidth="1"/>
    <col min="2" max="4" width="17.7109375" style="9" customWidth="1"/>
    <col min="5" max="5" width="17.7109375" style="30" customWidth="1"/>
    <col min="6" max="7" width="17.7109375" style="9" customWidth="1"/>
    <col min="8" max="8" width="13.42578125" style="9" customWidth="1"/>
    <col min="9" max="9" width="10.42578125" style="9" bestFit="1" customWidth="1"/>
    <col min="10" max="10" width="8.85546875" style="18"/>
    <col min="11" max="11" width="28.42578125" style="18" bestFit="1" customWidth="1"/>
    <col min="12" max="12" width="10.42578125" style="18" bestFit="1" customWidth="1"/>
    <col min="13" max="13" width="8.85546875" style="9"/>
    <col min="14" max="14" width="16.140625" style="9" bestFit="1" customWidth="1"/>
    <col min="15" max="15" width="32.85546875" style="70" customWidth="1"/>
    <col min="16" max="16" width="32.85546875" style="30" customWidth="1"/>
    <col min="17" max="18" width="17.7109375" style="30" customWidth="1"/>
    <col min="19" max="19" width="25.7109375" style="30" customWidth="1"/>
    <col min="20" max="20" width="23.28515625" style="30" customWidth="1"/>
    <col min="21" max="21" width="12.140625" style="9" bestFit="1" customWidth="1"/>
    <col min="22" max="22" width="16.42578125" style="9" customWidth="1"/>
    <col min="23" max="24" width="20.42578125" style="9" customWidth="1"/>
    <col min="25" max="25" width="27.85546875" style="9" customWidth="1"/>
    <col min="26" max="16384" width="8.85546875" style="9"/>
  </cols>
  <sheetData>
    <row r="1" spans="1:27" s="332" customFormat="1" ht="30">
      <c r="A1" s="332" t="s">
        <v>5</v>
      </c>
      <c r="B1" s="94" t="s">
        <v>5</v>
      </c>
      <c r="C1" s="94" t="s">
        <v>5</v>
      </c>
      <c r="D1" s="94" t="s">
        <v>5</v>
      </c>
      <c r="E1" s="94" t="s">
        <v>5</v>
      </c>
      <c r="F1" s="94" t="s">
        <v>5</v>
      </c>
      <c r="G1" s="94" t="s">
        <v>5</v>
      </c>
      <c r="H1" s="94" t="s">
        <v>5</v>
      </c>
      <c r="I1" s="332" t="s">
        <v>5</v>
      </c>
      <c r="J1" s="334" t="s">
        <v>0</v>
      </c>
      <c r="K1" s="334" t="s">
        <v>1</v>
      </c>
      <c r="L1" s="332" t="s">
        <v>2</v>
      </c>
      <c r="M1" s="332" t="s">
        <v>3</v>
      </c>
      <c r="N1" s="94" t="s">
        <v>4</v>
      </c>
      <c r="O1" s="347" t="s">
        <v>1282</v>
      </c>
      <c r="P1" s="94" t="s">
        <v>1283</v>
      </c>
      <c r="Q1" s="73" t="s">
        <v>1286</v>
      </c>
      <c r="R1" s="62" t="s">
        <v>1287</v>
      </c>
      <c r="S1" s="62" t="s">
        <v>7</v>
      </c>
      <c r="T1" s="332" t="s">
        <v>47</v>
      </c>
      <c r="U1" s="332" t="s">
        <v>148</v>
      </c>
      <c r="V1" s="332" t="s">
        <v>25</v>
      </c>
      <c r="W1" s="52" t="s">
        <v>1288</v>
      </c>
      <c r="X1" s="52" t="s">
        <v>1289</v>
      </c>
      <c r="Y1" s="52" t="s">
        <v>6</v>
      </c>
      <c r="Z1" s="160" t="s">
        <v>374</v>
      </c>
      <c r="AA1" s="160" t="s">
        <v>375</v>
      </c>
    </row>
    <row r="2" spans="1:27" s="52" customFormat="1" ht="45">
      <c r="A2" s="102" t="s">
        <v>353</v>
      </c>
      <c r="B2" s="103" t="s">
        <v>354</v>
      </c>
      <c r="C2" s="102" t="s">
        <v>1187</v>
      </c>
      <c r="D2" s="103" t="s">
        <v>358</v>
      </c>
      <c r="E2" s="95" t="s">
        <v>355</v>
      </c>
      <c r="F2" s="102" t="s">
        <v>1186</v>
      </c>
      <c r="G2" s="79" t="s">
        <v>357</v>
      </c>
      <c r="H2" s="74" t="s">
        <v>356</v>
      </c>
      <c r="I2" s="74" t="s">
        <v>426</v>
      </c>
      <c r="J2" s="15"/>
      <c r="K2" s="15"/>
      <c r="O2" s="73"/>
      <c r="P2" s="62"/>
      <c r="Q2" s="62"/>
      <c r="R2" s="62"/>
      <c r="S2" s="208"/>
      <c r="T2" s="62"/>
      <c r="V2" s="62"/>
    </row>
    <row r="3" spans="1:27" s="52" customFormat="1">
      <c r="A3" s="104" t="s">
        <v>364</v>
      </c>
      <c r="B3" s="104" t="s">
        <v>365</v>
      </c>
      <c r="C3" s="104" t="s">
        <v>364</v>
      </c>
      <c r="D3" s="104" t="s">
        <v>364</v>
      </c>
      <c r="E3" s="104" t="s">
        <v>365</v>
      </c>
      <c r="F3" s="104" t="s">
        <v>364</v>
      </c>
      <c r="G3" s="104" t="s">
        <v>364</v>
      </c>
      <c r="H3" s="105" t="s">
        <v>364</v>
      </c>
      <c r="I3" s="105" t="s">
        <v>364</v>
      </c>
      <c r="J3" s="15"/>
      <c r="K3" s="15"/>
      <c r="O3" s="73"/>
      <c r="P3" s="62"/>
      <c r="Q3" s="62"/>
      <c r="R3" s="62"/>
      <c r="S3" s="208"/>
      <c r="T3" s="62"/>
      <c r="V3" s="62"/>
    </row>
    <row r="4" spans="1:27">
      <c r="E4" s="116"/>
      <c r="F4" s="211"/>
      <c r="J4" s="18" t="s">
        <v>20</v>
      </c>
      <c r="S4" s="9"/>
    </row>
    <row r="5" spans="1:27" s="31" customFormat="1" ht="51.75">
      <c r="B5" s="218" t="s">
        <v>674</v>
      </c>
      <c r="C5" s="218"/>
      <c r="D5" s="117"/>
      <c r="E5" s="349" t="s">
        <v>762</v>
      </c>
      <c r="F5" s="239"/>
      <c r="H5" s="216"/>
      <c r="L5" s="161" t="s">
        <v>22</v>
      </c>
      <c r="M5" s="161"/>
      <c r="N5" s="161"/>
      <c r="O5" s="74" t="str">
        <f>E5</f>
        <v xml:space="preserve"> 16.3 الأصول الزراعية: المعدّات ذات القيمة والآلات</v>
      </c>
      <c r="P5" s="161" t="str">
        <f>B5</f>
        <v>Section 16.3 Agriculture Assets: Equipments</v>
      </c>
    </row>
    <row r="6" spans="1:27" ht="75">
      <c r="A6" s="54" t="str">
        <f t="shared" ref="A6:A11" si="0">CONCATENATE("q",I6,"_[#]")</f>
        <v>q16301_[#]</v>
      </c>
      <c r="B6" s="116" t="s">
        <v>787</v>
      </c>
      <c r="C6" s="116"/>
      <c r="D6" s="31" t="s">
        <v>533</v>
      </c>
      <c r="E6" s="244" t="s">
        <v>1593</v>
      </c>
      <c r="F6" s="116"/>
      <c r="G6" s="18" t="s">
        <v>534</v>
      </c>
      <c r="H6" s="165" t="s">
        <v>791</v>
      </c>
      <c r="I6" s="209">
        <v>16301</v>
      </c>
      <c r="S6" s="9"/>
    </row>
    <row r="7" spans="1:27" ht="39">
      <c r="A7" s="54" t="str">
        <f t="shared" si="0"/>
        <v>q16302_[#]</v>
      </c>
      <c r="B7" s="164" t="s">
        <v>788</v>
      </c>
      <c r="C7" s="164"/>
      <c r="D7" s="164"/>
      <c r="E7" s="181" t="s">
        <v>1034</v>
      </c>
      <c r="F7" s="181"/>
      <c r="G7" s="164"/>
      <c r="H7" s="27"/>
      <c r="I7" s="19">
        <f>I6+1</f>
        <v>16302</v>
      </c>
      <c r="S7" s="9"/>
    </row>
    <row r="8" spans="1:27" s="211" customFormat="1" ht="64.5">
      <c r="A8" s="54" t="str">
        <f t="shared" si="0"/>
        <v>q16303_[#]</v>
      </c>
      <c r="B8" s="164" t="s">
        <v>789</v>
      </c>
      <c r="C8" s="164"/>
      <c r="D8" s="27"/>
      <c r="E8" s="236" t="s">
        <v>1035</v>
      </c>
      <c r="F8" s="236"/>
      <c r="G8" s="27"/>
      <c r="H8" s="164" t="str">
        <f>CONCATENATE("2---&gt; Q",I$10)</f>
        <v>2---&gt; Q16305</v>
      </c>
      <c r="I8" s="19">
        <f t="shared" ref="I8:I11" si="1">I7+1</f>
        <v>16303</v>
      </c>
      <c r="J8" s="27"/>
      <c r="K8" s="27"/>
      <c r="L8" s="116"/>
      <c r="M8" s="116"/>
      <c r="O8" s="48"/>
      <c r="P8" s="116"/>
      <c r="Q8" s="116"/>
      <c r="R8" s="116"/>
      <c r="T8" s="116"/>
    </row>
    <row r="9" spans="1:27" ht="120">
      <c r="A9" s="54" t="str">
        <f t="shared" si="0"/>
        <v>q16304_[#]</v>
      </c>
      <c r="B9" s="164" t="s">
        <v>790</v>
      </c>
      <c r="C9" s="164" t="s">
        <v>1191</v>
      </c>
      <c r="D9" s="31" t="s">
        <v>668</v>
      </c>
      <c r="E9" s="164" t="s">
        <v>1036</v>
      </c>
      <c r="F9" s="48" t="s">
        <v>1192</v>
      </c>
      <c r="G9" s="31" t="s">
        <v>1037</v>
      </c>
      <c r="H9" s="27"/>
      <c r="I9" s="19">
        <f t="shared" si="1"/>
        <v>16304</v>
      </c>
      <c r="L9" s="63"/>
      <c r="M9" s="63"/>
      <c r="S9" s="9"/>
    </row>
    <row r="10" spans="1:27" ht="39">
      <c r="A10" s="54" t="str">
        <f t="shared" si="0"/>
        <v>q16305_[#]</v>
      </c>
      <c r="B10" s="164" t="s">
        <v>786</v>
      </c>
      <c r="C10" s="164"/>
      <c r="D10" s="27"/>
      <c r="E10" s="164" t="s">
        <v>1038</v>
      </c>
      <c r="F10" s="164"/>
      <c r="G10" s="27"/>
      <c r="H10" s="165" t="s">
        <v>791</v>
      </c>
      <c r="I10" s="19">
        <f t="shared" si="1"/>
        <v>16305</v>
      </c>
      <c r="L10" s="30"/>
      <c r="M10" s="30"/>
      <c r="S10" s="9"/>
    </row>
    <row r="11" spans="1:27" ht="39">
      <c r="A11" s="54" t="str">
        <f t="shared" si="0"/>
        <v>q16306_[#]</v>
      </c>
      <c r="B11" s="164" t="s">
        <v>671</v>
      </c>
      <c r="C11" s="195" t="s">
        <v>606</v>
      </c>
      <c r="E11" s="164" t="s">
        <v>1039</v>
      </c>
      <c r="F11" s="31" t="s">
        <v>1040</v>
      </c>
      <c r="H11" s="165"/>
      <c r="I11" s="19">
        <f t="shared" si="1"/>
        <v>16306</v>
      </c>
      <c r="L11" s="30"/>
      <c r="M11" s="30"/>
      <c r="N11" s="45"/>
      <c r="O11" s="312"/>
      <c r="P11" s="190"/>
      <c r="S11" s="9"/>
    </row>
    <row r="12" spans="1:27">
      <c r="B12" s="210"/>
      <c r="C12" s="210"/>
      <c r="D12" s="195"/>
      <c r="E12" s="210"/>
      <c r="F12" s="210"/>
      <c r="H12" s="212"/>
      <c r="I12" s="64"/>
      <c r="L12" s="30"/>
      <c r="M12" s="30"/>
      <c r="N12" s="45"/>
      <c r="O12" s="312"/>
      <c r="P12" s="190"/>
      <c r="S12" s="9"/>
    </row>
    <row r="13" spans="1:27">
      <c r="B13" s="210"/>
      <c r="C13" s="210"/>
      <c r="D13" s="195"/>
      <c r="E13" s="210"/>
      <c r="F13" s="210"/>
      <c r="H13" s="212"/>
      <c r="I13" s="64"/>
      <c r="L13" s="30"/>
      <c r="M13" s="30"/>
      <c r="N13" s="45"/>
      <c r="O13" s="312"/>
      <c r="P13" s="190"/>
      <c r="S13" s="9"/>
    </row>
    <row r="14" spans="1:27" ht="25.5">
      <c r="A14" s="213">
        <v>1</v>
      </c>
      <c r="B14" s="214" t="s">
        <v>650</v>
      </c>
      <c r="C14" s="214"/>
      <c r="D14" s="226"/>
      <c r="E14" s="237" t="s">
        <v>1041</v>
      </c>
      <c r="F14" s="237"/>
      <c r="H14" s="212"/>
      <c r="I14" s="213">
        <v>1</v>
      </c>
      <c r="L14" s="30"/>
      <c r="M14" s="30"/>
      <c r="N14" s="45"/>
      <c r="O14" s="312"/>
      <c r="P14" s="190"/>
      <c r="S14" s="9"/>
    </row>
    <row r="15" spans="1:27" ht="25.5">
      <c r="A15" s="213">
        <f>A14+1</f>
        <v>2</v>
      </c>
      <c r="B15" s="214" t="s">
        <v>651</v>
      </c>
      <c r="C15" s="214"/>
      <c r="D15" s="226"/>
      <c r="E15" s="237" t="s">
        <v>1042</v>
      </c>
      <c r="F15" s="237"/>
      <c r="H15" s="212"/>
      <c r="I15" s="213">
        <f>I14+1</f>
        <v>2</v>
      </c>
      <c r="N15" s="45"/>
      <c r="O15" s="312"/>
      <c r="P15" s="190"/>
      <c r="S15" s="9"/>
    </row>
    <row r="16" spans="1:27">
      <c r="A16" s="213">
        <f t="shared" ref="A16:A32" si="2">A15+1</f>
        <v>3</v>
      </c>
      <c r="B16" s="214" t="s">
        <v>652</v>
      </c>
      <c r="C16" s="214"/>
      <c r="D16" s="226"/>
      <c r="E16" s="237" t="s">
        <v>763</v>
      </c>
      <c r="F16" s="237"/>
      <c r="H16" s="212"/>
      <c r="I16" s="213">
        <f t="shared" ref="I16:I32" si="3">I15+1</f>
        <v>3</v>
      </c>
      <c r="N16" s="45"/>
      <c r="O16" s="312"/>
      <c r="P16" s="190"/>
      <c r="S16" s="9"/>
    </row>
    <row r="17" spans="1:20">
      <c r="A17" s="213">
        <f t="shared" si="2"/>
        <v>4</v>
      </c>
      <c r="B17" s="214" t="s">
        <v>653</v>
      </c>
      <c r="C17" s="214"/>
      <c r="D17" s="226"/>
      <c r="E17" s="237" t="s">
        <v>1043</v>
      </c>
      <c r="F17" s="237"/>
      <c r="H17" s="212"/>
      <c r="I17" s="213">
        <f t="shared" si="3"/>
        <v>4</v>
      </c>
      <c r="N17" s="45"/>
      <c r="O17" s="312"/>
      <c r="P17" s="190"/>
      <c r="S17" s="9"/>
    </row>
    <row r="18" spans="1:20">
      <c r="A18" s="213">
        <f t="shared" si="2"/>
        <v>5</v>
      </c>
      <c r="B18" s="214" t="s">
        <v>654</v>
      </c>
      <c r="C18" s="214"/>
      <c r="D18" s="226"/>
      <c r="E18" s="237" t="s">
        <v>764</v>
      </c>
      <c r="F18" s="237"/>
      <c r="H18" s="212"/>
      <c r="I18" s="213">
        <f t="shared" si="3"/>
        <v>5</v>
      </c>
      <c r="N18" s="45"/>
      <c r="O18" s="312"/>
      <c r="P18" s="190"/>
      <c r="S18" s="9"/>
    </row>
    <row r="19" spans="1:20">
      <c r="A19" s="213">
        <f t="shared" si="2"/>
        <v>6</v>
      </c>
      <c r="B19" s="214" t="s">
        <v>655</v>
      </c>
      <c r="C19" s="214"/>
      <c r="D19" s="226"/>
      <c r="E19" s="236" t="s">
        <v>1044</v>
      </c>
      <c r="F19" s="245"/>
      <c r="H19" s="212"/>
      <c r="I19" s="213">
        <f t="shared" si="3"/>
        <v>6</v>
      </c>
      <c r="N19" s="45"/>
      <c r="O19" s="312"/>
      <c r="P19" s="190"/>
      <c r="S19" s="9"/>
    </row>
    <row r="20" spans="1:20">
      <c r="A20" s="213">
        <f t="shared" si="2"/>
        <v>7</v>
      </c>
      <c r="B20" s="214" t="s">
        <v>656</v>
      </c>
      <c r="C20" s="214"/>
      <c r="D20" s="226"/>
      <c r="E20" s="236" t="s">
        <v>1045</v>
      </c>
      <c r="F20" s="245"/>
      <c r="H20" s="212"/>
      <c r="I20" s="213">
        <f t="shared" si="3"/>
        <v>7</v>
      </c>
      <c r="N20" s="45"/>
      <c r="O20" s="312"/>
      <c r="P20" s="190"/>
      <c r="S20" s="9"/>
    </row>
    <row r="21" spans="1:20">
      <c r="A21" s="213">
        <f t="shared" si="2"/>
        <v>8</v>
      </c>
      <c r="B21" s="214" t="s">
        <v>657</v>
      </c>
      <c r="C21" s="214"/>
      <c r="D21" s="226"/>
      <c r="E21" s="236" t="s">
        <v>1046</v>
      </c>
      <c r="F21" s="245"/>
      <c r="H21" s="212"/>
      <c r="I21" s="213">
        <f t="shared" si="3"/>
        <v>8</v>
      </c>
      <c r="N21" s="45"/>
      <c r="O21" s="312"/>
      <c r="P21" s="190"/>
      <c r="S21" s="9"/>
    </row>
    <row r="22" spans="1:20">
      <c r="A22" s="213">
        <f t="shared" si="2"/>
        <v>9</v>
      </c>
      <c r="B22" s="214" t="s">
        <v>658</v>
      </c>
      <c r="C22" s="214"/>
      <c r="D22" s="226"/>
      <c r="E22" s="236" t="s">
        <v>765</v>
      </c>
      <c r="F22" s="245"/>
      <c r="H22" s="212"/>
      <c r="I22" s="213">
        <f t="shared" si="3"/>
        <v>9</v>
      </c>
      <c r="N22" s="45"/>
      <c r="O22" s="312"/>
      <c r="P22" s="190"/>
      <c r="S22" s="9"/>
    </row>
    <row r="23" spans="1:20">
      <c r="A23" s="213">
        <f t="shared" si="2"/>
        <v>10</v>
      </c>
      <c r="B23" s="214" t="s">
        <v>659</v>
      </c>
      <c r="C23" s="214"/>
      <c r="D23" s="226"/>
      <c r="E23" s="236" t="s">
        <v>766</v>
      </c>
      <c r="F23" s="245"/>
      <c r="H23" s="212"/>
      <c r="I23" s="213">
        <f t="shared" si="3"/>
        <v>10</v>
      </c>
      <c r="N23" s="45"/>
      <c r="O23" s="312"/>
      <c r="P23" s="190"/>
      <c r="S23" s="9"/>
    </row>
    <row r="24" spans="1:20" ht="26.25">
      <c r="A24" s="213">
        <f t="shared" si="2"/>
        <v>11</v>
      </c>
      <c r="B24" s="214" t="s">
        <v>660</v>
      </c>
      <c r="C24" s="214"/>
      <c r="D24" s="226"/>
      <c r="E24" s="236" t="s">
        <v>1047</v>
      </c>
      <c r="F24" s="245"/>
      <c r="H24" s="212"/>
      <c r="I24" s="213">
        <f t="shared" si="3"/>
        <v>11</v>
      </c>
      <c r="N24" s="45"/>
      <c r="O24" s="312"/>
      <c r="P24" s="190"/>
      <c r="S24" s="9"/>
    </row>
    <row r="25" spans="1:20">
      <c r="A25" s="213">
        <f t="shared" si="2"/>
        <v>12</v>
      </c>
      <c r="B25" s="214" t="s">
        <v>661</v>
      </c>
      <c r="C25" s="214"/>
      <c r="D25" s="226"/>
      <c r="E25" s="236" t="s">
        <v>767</v>
      </c>
      <c r="F25" s="245"/>
      <c r="H25" s="212"/>
      <c r="I25" s="213">
        <f t="shared" si="3"/>
        <v>12</v>
      </c>
      <c r="N25" s="45"/>
      <c r="O25" s="312"/>
      <c r="P25" s="190"/>
      <c r="S25" s="9"/>
    </row>
    <row r="26" spans="1:20" ht="26.25">
      <c r="A26" s="213">
        <f t="shared" si="2"/>
        <v>13</v>
      </c>
      <c r="B26" s="214" t="s">
        <v>662</v>
      </c>
      <c r="C26" s="214"/>
      <c r="D26" s="226"/>
      <c r="E26" s="236" t="s">
        <v>768</v>
      </c>
      <c r="F26" s="245"/>
      <c r="H26" s="212"/>
      <c r="I26" s="213">
        <f t="shared" si="3"/>
        <v>13</v>
      </c>
      <c r="N26" s="45"/>
      <c r="O26" s="312"/>
      <c r="P26" s="190"/>
      <c r="S26" s="9"/>
    </row>
    <row r="27" spans="1:20">
      <c r="A27" s="213">
        <f t="shared" si="2"/>
        <v>14</v>
      </c>
      <c r="B27" s="214" t="s">
        <v>663</v>
      </c>
      <c r="C27" s="214"/>
      <c r="D27" s="226"/>
      <c r="E27" s="236" t="s">
        <v>769</v>
      </c>
      <c r="F27" s="245"/>
      <c r="H27" s="212"/>
      <c r="I27" s="213">
        <f t="shared" si="3"/>
        <v>14</v>
      </c>
      <c r="N27" s="45"/>
      <c r="O27" s="312"/>
      <c r="P27" s="190"/>
      <c r="S27" s="9"/>
    </row>
    <row r="28" spans="1:20">
      <c r="A28" s="213">
        <f t="shared" si="2"/>
        <v>15</v>
      </c>
      <c r="B28" s="214" t="s">
        <v>664</v>
      </c>
      <c r="C28" s="214"/>
      <c r="D28" s="226"/>
      <c r="E28" s="236" t="s">
        <v>770</v>
      </c>
      <c r="F28" s="245"/>
      <c r="H28" s="212"/>
      <c r="I28" s="213">
        <f t="shared" si="3"/>
        <v>15</v>
      </c>
      <c r="N28" s="45"/>
      <c r="O28" s="312"/>
      <c r="P28" s="190"/>
      <c r="S28" s="9"/>
    </row>
    <row r="29" spans="1:20" ht="26.25">
      <c r="A29" s="213">
        <f t="shared" si="2"/>
        <v>16</v>
      </c>
      <c r="B29" s="214" t="s">
        <v>665</v>
      </c>
      <c r="C29" s="214"/>
      <c r="D29" s="226"/>
      <c r="E29" s="236" t="s">
        <v>771</v>
      </c>
      <c r="F29" s="245"/>
      <c r="H29" s="212"/>
      <c r="I29" s="213">
        <f t="shared" si="3"/>
        <v>16</v>
      </c>
      <c r="N29" s="45"/>
      <c r="O29" s="312"/>
      <c r="P29" s="190"/>
      <c r="S29" s="9"/>
    </row>
    <row r="30" spans="1:20">
      <c r="A30" s="213">
        <f t="shared" si="2"/>
        <v>17</v>
      </c>
      <c r="B30" s="214" t="s">
        <v>666</v>
      </c>
      <c r="C30" s="214"/>
      <c r="D30" s="226"/>
      <c r="E30" s="236" t="s">
        <v>1048</v>
      </c>
      <c r="F30" s="245"/>
      <c r="H30" s="212"/>
      <c r="I30" s="213">
        <f t="shared" si="3"/>
        <v>17</v>
      </c>
      <c r="N30" s="45"/>
      <c r="O30" s="312"/>
      <c r="P30" s="190"/>
      <c r="S30" s="9"/>
    </row>
    <row r="31" spans="1:20" s="404" customFormat="1">
      <c r="A31" s="213">
        <f t="shared" si="2"/>
        <v>18</v>
      </c>
      <c r="B31" s="214" t="s">
        <v>1346</v>
      </c>
      <c r="C31" s="214"/>
      <c r="D31" s="226"/>
      <c r="E31" s="236" t="s">
        <v>1347</v>
      </c>
      <c r="F31" s="245"/>
      <c r="H31" s="212"/>
      <c r="I31" s="213">
        <f t="shared" si="3"/>
        <v>18</v>
      </c>
      <c r="J31" s="18"/>
      <c r="K31" s="18"/>
      <c r="L31" s="18"/>
      <c r="N31" s="45"/>
      <c r="O31" s="312"/>
      <c r="P31" s="190"/>
      <c r="Q31" s="30"/>
      <c r="R31" s="30"/>
      <c r="T31" s="30"/>
    </row>
    <row r="32" spans="1:20" s="404" customFormat="1">
      <c r="A32" s="213">
        <f t="shared" si="2"/>
        <v>19</v>
      </c>
      <c r="B32" s="214" t="s">
        <v>1402</v>
      </c>
      <c r="C32" s="214"/>
      <c r="D32" s="226"/>
      <c r="E32" s="236" t="s">
        <v>1510</v>
      </c>
      <c r="F32" s="245"/>
      <c r="H32" s="212"/>
      <c r="I32" s="213">
        <f t="shared" si="3"/>
        <v>19</v>
      </c>
      <c r="J32" s="18"/>
      <c r="K32" s="18"/>
      <c r="L32" s="18"/>
      <c r="N32" s="45"/>
      <c r="O32" s="312"/>
      <c r="P32" s="190"/>
      <c r="Q32" s="30"/>
      <c r="R32" s="30"/>
      <c r="T32" s="30"/>
    </row>
    <row r="33" spans="1:25">
      <c r="A33" s="213">
        <v>97</v>
      </c>
      <c r="B33" s="214" t="s">
        <v>667</v>
      </c>
      <c r="C33" s="214"/>
      <c r="D33" s="226"/>
      <c r="E33" s="236" t="s">
        <v>1049</v>
      </c>
      <c r="F33" s="245"/>
      <c r="H33" s="212"/>
      <c r="I33" s="213">
        <v>97</v>
      </c>
      <c r="N33" s="45"/>
      <c r="O33" s="312"/>
      <c r="P33" s="190"/>
      <c r="S33" s="9"/>
    </row>
    <row r="34" spans="1:25" ht="26.25">
      <c r="A34" s="213" t="s">
        <v>670</v>
      </c>
      <c r="B34" s="227" t="s">
        <v>669</v>
      </c>
      <c r="C34" s="227"/>
      <c r="D34" s="227"/>
      <c r="E34" s="350" t="s">
        <v>1050</v>
      </c>
      <c r="F34" s="246"/>
      <c r="G34" s="227"/>
      <c r="H34" s="212"/>
      <c r="I34" s="213" t="s">
        <v>670</v>
      </c>
      <c r="N34" s="45"/>
      <c r="O34" s="312"/>
      <c r="P34" s="190"/>
      <c r="S34" s="9"/>
    </row>
    <row r="35" spans="1:25">
      <c r="A35" s="213"/>
      <c r="B35" s="227"/>
      <c r="C35" s="227"/>
      <c r="D35" s="227"/>
      <c r="E35" s="351"/>
      <c r="F35" s="238"/>
      <c r="G35" s="227"/>
      <c r="H35" s="212"/>
      <c r="I35" s="213"/>
      <c r="N35" s="45"/>
      <c r="O35" s="312"/>
      <c r="P35" s="190"/>
      <c r="S35" s="9"/>
    </row>
    <row r="36" spans="1:25" s="19" customFormat="1">
      <c r="E36" s="181"/>
      <c r="F36" s="50"/>
      <c r="H36" s="215"/>
      <c r="O36" s="48"/>
      <c r="P36" s="31"/>
      <c r="Q36" s="31"/>
      <c r="R36" s="31"/>
      <c r="T36" s="31"/>
      <c r="V36" s="31"/>
    </row>
    <row r="37" spans="1:25">
      <c r="S37" s="9"/>
    </row>
    <row r="38" spans="1:25" s="117" customFormat="1" ht="45">
      <c r="G38" s="168"/>
      <c r="H38" s="191"/>
      <c r="I38" s="168"/>
      <c r="J38" s="54"/>
      <c r="K38" s="54"/>
      <c r="L38" s="19" t="s">
        <v>18</v>
      </c>
      <c r="M38" s="31" t="s">
        <v>17</v>
      </c>
      <c r="N38" s="117" t="str">
        <f>CONCATENATE("q",$I$6, "_", A$14)</f>
        <v>q16301_1</v>
      </c>
      <c r="O38" s="312" t="str">
        <f>CONCATENATE(N38, ". ", SUBSTITUTE($E$6, "[item]",$E$14))</f>
        <v>q16301_1. هل تمتلك الأسرة أي ممتلكات من جرار كبير (قوة 12 حصان فأكثر)؟</v>
      </c>
      <c r="P38" s="117" t="str">
        <f>CONCATENATE(N38, ". ", SUBSTITUTE($B$6, "[item]",$B$14))</f>
        <v xml:space="preserve">q16301_1. Does your household own any large tractor (&gt;12 horse power)? (Entirely or with sharing)   </v>
      </c>
      <c r="S38" s="117" t="s">
        <v>587</v>
      </c>
    </row>
    <row r="39" spans="1:25" s="31" customFormat="1">
      <c r="B39" s="161"/>
      <c r="C39" s="161"/>
      <c r="E39" s="161"/>
      <c r="F39" s="161"/>
      <c r="G39" s="161"/>
      <c r="H39" s="216"/>
      <c r="I39" s="161"/>
      <c r="J39" s="88" t="s">
        <v>51</v>
      </c>
      <c r="K39" s="19" t="str">
        <f>CONCATENATE("selected(data('",N38,"'),'1')")</f>
        <v>selected(data('q16301_1'),'1')</v>
      </c>
      <c r="L39" s="19"/>
      <c r="O39" s="312"/>
      <c r="P39" s="117"/>
      <c r="S39" s="181"/>
    </row>
    <row r="40" spans="1:25" s="31" customFormat="1" ht="45">
      <c r="H40" s="216"/>
      <c r="J40" s="66"/>
      <c r="K40" s="19"/>
      <c r="L40" s="19" t="s">
        <v>19</v>
      </c>
      <c r="N40" s="31" t="str">
        <f>CONCATENATE("q",$I$7, "_", A$14)</f>
        <v>q16302_1</v>
      </c>
      <c r="O40" s="312" t="str">
        <f>CONCATENATE(N40, ". ", SUBSTITUTE($E$7, "[item]",$E$14))</f>
        <v>q16302_1. كم جرار كبير (قوة 12 حصان فأكثر) تمتلك الأسرة؟</v>
      </c>
      <c r="P40" s="117" t="str">
        <f>CONCATENATE(N40, ". ", SUBSTITUTE($B$7, "[item]",$B$14))</f>
        <v>q16302_1. How many large tractor (&gt;12 horse power) does your household own?</v>
      </c>
      <c r="S40" s="181" t="str">
        <f>CONCATENATE(K39, " &amp;&amp; ", S38)</f>
        <v>selected(data('q16301_1'),'1') &amp;&amp; data('valid_overall') == 1</v>
      </c>
      <c r="V40" s="63"/>
      <c r="W40" s="63"/>
      <c r="X40" s="63"/>
      <c r="Y40" s="31" t="b">
        <v>1</v>
      </c>
    </row>
    <row r="41" spans="1:25" s="31" customFormat="1" ht="60">
      <c r="H41" s="216"/>
      <c r="J41" s="66"/>
      <c r="K41" s="19"/>
      <c r="L41" s="19" t="s">
        <v>18</v>
      </c>
      <c r="M41" s="31" t="s">
        <v>17</v>
      </c>
      <c r="N41" s="31" t="str">
        <f>CONCATENATE("q",$I$8, "_", A$14)</f>
        <v>q16303_1</v>
      </c>
      <c r="O41" s="312" t="str">
        <f>CONCATENATE(N41, ". ", SUBSTITUTE($E$8, "[item]",$E$14))</f>
        <v>q16303_1. هل تمتلك الأسرة جرار كبير (قوة 12 حصان فأكثر) مشاركة مع أسر أخرى؟</v>
      </c>
      <c r="P41" s="117" t="str">
        <f>CONCATENATE(N41, ". ", SUBSTITUTE($B$8, "[item]",$B$14))</f>
        <v>q16303_1. Does your household own any large tractor (&gt;12 horse power) jointly with any other household?</v>
      </c>
      <c r="S41" s="181" t="str">
        <f>CONCATENATE(K39, " &amp;&amp; ", S38)</f>
        <v>selected(data('q16301_1'),'1') &amp;&amp; data('valid_overall') == 1</v>
      </c>
      <c r="Y41" s="31" t="b">
        <v>1</v>
      </c>
    </row>
    <row r="42" spans="1:25">
      <c r="J42" s="139" t="s">
        <v>42</v>
      </c>
      <c r="S42" s="9"/>
    </row>
    <row r="43" spans="1:25" s="31" customFormat="1">
      <c r="H43" s="216"/>
      <c r="J43" s="88" t="s">
        <v>51</v>
      </c>
      <c r="K43" s="19" t="str">
        <f>CONCATENATE("selected(data('",N41,"'),'1') &amp;&amp; ", K39)</f>
        <v>selected(data('q16303_1'),'1') &amp;&amp; selected(data('q16301_1'),'1')</v>
      </c>
      <c r="L43" s="19"/>
      <c r="O43" s="48"/>
      <c r="S43" s="181"/>
    </row>
    <row r="44" spans="1:25" s="31" customFormat="1" ht="90">
      <c r="H44" s="216"/>
      <c r="J44" s="159"/>
      <c r="K44" s="19"/>
      <c r="L44" s="19" t="s">
        <v>19</v>
      </c>
      <c r="N44" s="31" t="str">
        <f>CONCATENATE("q",$I$9, "_", A$14)</f>
        <v>q16304_1</v>
      </c>
      <c r="O44" s="312" t="str">
        <f>CONCATENATE(N44, ". ", SUBSTITUTE($E$9, "[item]",$E$14))</f>
        <v>q16304_1. ما نصيب الأسرة من جرار كبير (قوة 12 حصان فأكثر)؟</v>
      </c>
      <c r="P44" s="117" t="str">
        <f>CONCATENATE(N44, ". ", SUBSTITUTE($B$9, "[item]",$B$14))</f>
        <v>q16304_1. What share of these large tractor (&gt;12 horse power) belong to your household?</v>
      </c>
      <c r="Q44" s="31" t="str">
        <f>$G$9</f>
        <v>سجل النسبة من 0-100. إذا كانت النسبة تختلف من سلعة لأخرى، سجل متوسط نصيب الاسرة.</v>
      </c>
      <c r="R44" s="31" t="str">
        <f>$D$9</f>
        <v>Answer as a percentage (0-100). *If share differs over items, record average share.</v>
      </c>
      <c r="S44" s="181" t="str">
        <f>CONCATENATE(,K43, " &amp;&amp; ",  S38)</f>
        <v>selected(data('q16303_1'),'1') &amp;&amp; selected(data('q16301_1'),'1') &amp;&amp; data('valid_overall') == 1</v>
      </c>
      <c r="V44" s="63" t="str">
        <f>CONCATENATE("(data('",N44,"') &gt;= 0 &amp;&amp; data('",N44,"') &lt;= 100)")</f>
        <v>(data('q16304_1') &gt;= 0 &amp;&amp; data('q16304_1') &lt;= 100)</v>
      </c>
      <c r="W44" s="16" t="s">
        <v>1051</v>
      </c>
      <c r="X44" s="63" t="s">
        <v>441</v>
      </c>
      <c r="Y44" s="31" t="b">
        <v>1</v>
      </c>
    </row>
    <row r="45" spans="1:25" s="31" customFormat="1">
      <c r="H45" s="216"/>
      <c r="J45" s="88" t="s">
        <v>42</v>
      </c>
      <c r="K45" s="19"/>
      <c r="L45" s="19"/>
      <c r="O45" s="48"/>
      <c r="S45" s="181"/>
    </row>
    <row r="46" spans="1:25" s="31" customFormat="1">
      <c r="H46" s="216"/>
      <c r="J46" s="88" t="s">
        <v>51</v>
      </c>
      <c r="K46" s="19" t="str">
        <f>CONCATENATE("selected(data('",N38,"'),'1')")</f>
        <v>selected(data('q16301_1'),'1')</v>
      </c>
      <c r="L46" s="19"/>
      <c r="O46" s="48"/>
      <c r="S46" s="181"/>
    </row>
    <row r="47" spans="1:25" s="31" customFormat="1" ht="45">
      <c r="H47" s="216"/>
      <c r="J47" s="22"/>
      <c r="K47" s="19"/>
      <c r="L47" s="19" t="s">
        <v>18</v>
      </c>
      <c r="M47" s="31" t="s">
        <v>17</v>
      </c>
      <c r="N47" s="31" t="str">
        <f>CONCATENATE("q",$I$10, "_", A$14)</f>
        <v>q16305_1</v>
      </c>
      <c r="O47" s="312" t="str">
        <f>CONCATENATE(N47, ". ", SUBSTITUTE($E$10, "[item]",$E$14))</f>
        <v>q16305_1. هل استؤجر جرار كبير (قوة 12 حصان فأكثر) خلال الـ12 شهر الماضية؟</v>
      </c>
      <c r="P47" s="117" t="str">
        <f>CONCATENATE(N47, ". ", SUBSTITUTE($B$10, "[item]",$B$14))</f>
        <v>q16305_1. Was the large tractor (&gt;12 horse power) rented out in the last 12 months?</v>
      </c>
      <c r="S47" s="181" t="str">
        <f>CONCATENATE(K39, " &amp;&amp; ", S38)</f>
        <v>selected(data('q16301_1'),'1') &amp;&amp; data('valid_overall') == 1</v>
      </c>
      <c r="Y47" s="31" t="b">
        <v>1</v>
      </c>
    </row>
    <row r="48" spans="1:25" s="31" customFormat="1">
      <c r="H48" s="216"/>
      <c r="J48" s="88" t="s">
        <v>42</v>
      </c>
      <c r="K48" s="19"/>
      <c r="L48" s="19"/>
      <c r="O48" s="312"/>
      <c r="P48" s="117"/>
      <c r="S48" s="181"/>
    </row>
    <row r="49" spans="2:25" s="31" customFormat="1">
      <c r="H49" s="216"/>
      <c r="J49" s="88" t="s">
        <v>23</v>
      </c>
      <c r="K49" s="19" t="str">
        <f>CONCATENATE("selected(data('",N47,"'),'1') &amp;&amp; ",K39)</f>
        <v>selected(data('q16305_1'),'1') &amp;&amp; selected(data('q16301_1'),'1')</v>
      </c>
      <c r="L49" s="19"/>
      <c r="O49" s="48"/>
      <c r="S49" s="181"/>
    </row>
    <row r="50" spans="2:25" s="31" customFormat="1" ht="75">
      <c r="H50" s="216"/>
      <c r="J50" s="66"/>
      <c r="K50" s="19"/>
      <c r="L50" s="19" t="s">
        <v>19</v>
      </c>
      <c r="N50" s="31" t="str">
        <f>CONCATENATE("q",$I$11, "_", A$14)</f>
        <v>q16306_1</v>
      </c>
      <c r="O50" s="312" t="str">
        <f>CONCATENATE(N50, ". ", SUBSTITUTE($E$11, "[item]",$E$14))</f>
        <v>q16306_1. كم كانت قيمة الإيجار (بالجنيه)؟</v>
      </c>
      <c r="P50" s="117" t="str">
        <f>CONCATENATE(N50, ". ", SUBSTITUTE($B$11, "[item]",$B$14))</f>
        <v>q16306_1. What was the value of the rental? (in pounds)</v>
      </c>
      <c r="Q50" s="31" t="str">
        <f>$F$11</f>
        <v>*في حالة لا أعرف سجل  999998</v>
      </c>
      <c r="R50" s="31" t="str">
        <f>$C$11</f>
        <v>*If don't know, write 999998</v>
      </c>
      <c r="S50" s="181" t="str">
        <f>CONCATENATE(K49, " &amp;&amp; ", S38)</f>
        <v>selected(data('q16305_1'),'1') &amp;&amp; selected(data('q16301_1'),'1') &amp;&amp; data('valid_overall') == 1</v>
      </c>
      <c r="Y50" s="31" t="b">
        <v>1</v>
      </c>
    </row>
    <row r="51" spans="2:25" s="31" customFormat="1">
      <c r="H51" s="216"/>
      <c r="J51" s="88" t="s">
        <v>42</v>
      </c>
      <c r="K51" s="19"/>
      <c r="L51" s="19"/>
      <c r="O51" s="48"/>
      <c r="S51" s="181"/>
    </row>
    <row r="52" spans="2:25" s="31" customFormat="1">
      <c r="H52" s="216"/>
      <c r="J52" s="405" t="s">
        <v>21</v>
      </c>
      <c r="K52" s="19"/>
      <c r="L52" s="19"/>
      <c r="O52" s="407"/>
      <c r="S52" s="181"/>
    </row>
    <row r="53" spans="2:25" s="31" customFormat="1">
      <c r="H53" s="216"/>
      <c r="J53" s="405" t="s">
        <v>1353</v>
      </c>
      <c r="K53" s="19"/>
      <c r="L53" s="19"/>
      <c r="O53" s="407"/>
      <c r="S53" s="181"/>
    </row>
    <row r="54" spans="2:25" s="117" customFormat="1" ht="69.75" customHeight="1">
      <c r="B54" s="168"/>
      <c r="C54" s="168"/>
      <c r="E54" s="168"/>
      <c r="F54" s="168"/>
      <c r="G54" s="168"/>
      <c r="H54" s="191"/>
      <c r="I54" s="168"/>
      <c r="J54" s="178"/>
      <c r="K54" s="54"/>
      <c r="L54" s="19" t="s">
        <v>18</v>
      </c>
      <c r="M54" s="31" t="s">
        <v>17</v>
      </c>
      <c r="N54" s="117" t="str">
        <f>CONCATENATE("q",$I$6, "_", A$15)</f>
        <v>q16301_2</v>
      </c>
      <c r="O54" s="312" t="str">
        <f>CONCATENATE(N54, ". ", SUBSTITUTE($E$6, "[item]",$E$15))</f>
        <v>q16301_2. هل تمتلك الأسرة أي ممتلكات من جرار صغير (قوة أقل من 12 حصان)؟</v>
      </c>
      <c r="P54" s="117" t="str">
        <f>CONCATENATE(N54, ". ", SUBSTITUTE($B$6, "[item]",$B$15))</f>
        <v xml:space="preserve">q16301_2. Does your household own any small tractor (&lt;12 horse power)? (Entirely or with sharing)   </v>
      </c>
      <c r="S54" s="117" t="s">
        <v>587</v>
      </c>
    </row>
    <row r="55" spans="2:25" s="31" customFormat="1">
      <c r="B55" s="161"/>
      <c r="C55" s="161"/>
      <c r="E55" s="161"/>
      <c r="F55" s="161"/>
      <c r="G55" s="161"/>
      <c r="H55" s="216"/>
      <c r="I55" s="161"/>
      <c r="J55" s="88" t="s">
        <v>51</v>
      </c>
      <c r="K55" s="19" t="str">
        <f>CONCATENATE("selected(data('",N54,"'),'1')")</f>
        <v>selected(data('q16301_2'),'1')</v>
      </c>
      <c r="L55" s="19"/>
      <c r="O55" s="312"/>
      <c r="P55" s="117"/>
      <c r="S55" s="181"/>
    </row>
    <row r="56" spans="2:25" s="31" customFormat="1" ht="45">
      <c r="H56" s="216"/>
      <c r="J56" s="92"/>
      <c r="K56" s="19"/>
      <c r="L56" s="19" t="s">
        <v>19</v>
      </c>
      <c r="N56" s="31" t="str">
        <f>CONCATENATE("q",$I$7, "_", A$15)</f>
        <v>q16302_2</v>
      </c>
      <c r="O56" s="312" t="str">
        <f>CONCATENATE(N56, ". ", SUBSTITUTE($E$7, "[item]",$E$15))</f>
        <v>q16302_2. كم جرار صغير (قوة أقل من 12 حصان) تمتلك الأسرة؟</v>
      </c>
      <c r="P56" s="117" t="str">
        <f>CONCATENATE(N56, ". ", SUBSTITUTE($B$7, "[item]",$B$15))</f>
        <v>q16302_2. How many small tractor (&lt;12 horse power) does your household own?</v>
      </c>
      <c r="Q56" s="2"/>
      <c r="R56" s="2"/>
      <c r="S56" s="181" t="str">
        <f>CONCATENATE(K55, " &amp;&amp; ", S54)</f>
        <v>selected(data('q16301_2'),'1') &amp;&amp; data('valid_overall') == 1</v>
      </c>
      <c r="T56" s="2"/>
      <c r="U56"/>
      <c r="V56"/>
      <c r="W56"/>
      <c r="X56"/>
      <c r="Y56" s="31" t="b">
        <v>1</v>
      </c>
    </row>
    <row r="57" spans="2:25" s="31" customFormat="1" ht="60">
      <c r="H57" s="216"/>
      <c r="J57" s="92"/>
      <c r="K57" s="19"/>
      <c r="L57" s="19" t="s">
        <v>18</v>
      </c>
      <c r="M57" s="31" t="s">
        <v>17</v>
      </c>
      <c r="N57" s="31" t="str">
        <f>CONCATENATE("q",$I$8, "_", A$15)</f>
        <v>q16303_2</v>
      </c>
      <c r="O57" s="312" t="str">
        <f>CONCATENATE(N57, ". ", SUBSTITUTE($E$8, "[item]",$E$15))</f>
        <v>q16303_2. هل تمتلك الأسرة جرار صغير (قوة أقل من 12 حصان) مشاركة مع أسر أخرى؟</v>
      </c>
      <c r="P57" s="117" t="str">
        <f>CONCATENATE(N57, ". ", SUBSTITUTE($B$8, "[item]",$B$15))</f>
        <v>q16303_2. Does your household own any small tractor (&lt;12 horse power) jointly with any other household?</v>
      </c>
      <c r="S57" s="181" t="str">
        <f>CONCATENATE(K55, " &amp;&amp; ", S54)</f>
        <v>selected(data('q16301_2'),'1') &amp;&amp; data('valid_overall') == 1</v>
      </c>
      <c r="Y57" s="31" t="b">
        <v>1</v>
      </c>
    </row>
    <row r="58" spans="2:25" s="31" customFormat="1">
      <c r="H58" s="216"/>
      <c r="J58" s="139" t="s">
        <v>42</v>
      </c>
      <c r="K58" s="18"/>
      <c r="L58" s="19"/>
      <c r="O58" s="312"/>
      <c r="P58" s="117"/>
      <c r="S58" s="9"/>
    </row>
    <row r="59" spans="2:25" s="31" customFormat="1">
      <c r="H59" s="216"/>
      <c r="J59" s="88" t="s">
        <v>51</v>
      </c>
      <c r="K59" s="19" t="str">
        <f>CONCATENATE("selected(data('",N57,"'),'1') &amp;&amp; ", K55)</f>
        <v>selected(data('q16303_2'),'1') &amp;&amp; selected(data('q16301_2'),'1')</v>
      </c>
      <c r="L59" s="19"/>
      <c r="O59" s="48"/>
      <c r="S59" s="181"/>
    </row>
    <row r="60" spans="2:25" s="31" customFormat="1" ht="90">
      <c r="H60" s="216"/>
      <c r="J60" s="433"/>
      <c r="K60" s="19"/>
      <c r="L60" s="19" t="s">
        <v>19</v>
      </c>
      <c r="N60" s="31" t="str">
        <f>CONCATENATE("q",$I$9, "_", A$15)</f>
        <v>q16304_2</v>
      </c>
      <c r="O60" s="312" t="str">
        <f>CONCATENATE(N60, ". ", SUBSTITUTE($E$9, "[item]",$E$15))</f>
        <v>q16304_2. ما نصيب الأسرة من جرار صغير (قوة أقل من 12 حصان)؟</v>
      </c>
      <c r="P60" s="117" t="str">
        <f>CONCATENATE(N60, ". ", SUBSTITUTE($B$9, "[item]",$B$15))</f>
        <v>q16304_2. What share of these small tractor (&lt;12 horse power) belong to your household?</v>
      </c>
      <c r="Q60" s="31" t="str">
        <f>$G$9</f>
        <v>سجل النسبة من 0-100. إذا كانت النسبة تختلف من سلعة لأخرى، سجل متوسط نصيب الاسرة.</v>
      </c>
      <c r="R60" s="31" t="str">
        <f>$D$9</f>
        <v>Answer as a percentage (0-100). *If share differs over items, record average share.</v>
      </c>
      <c r="S60" s="181" t="str">
        <f>CONCATENATE(,K59, " &amp;&amp; ",  S54)</f>
        <v>selected(data('q16303_2'),'1') &amp;&amp; selected(data('q16301_2'),'1') &amp;&amp; data('valid_overall') == 1</v>
      </c>
      <c r="V60" s="63" t="str">
        <f>CONCATENATE("(data('",N60,"') &gt;= 0 &amp;&amp; data('",N60,"') &lt;= 100)")</f>
        <v>(data('q16304_2') &gt;= 0 &amp;&amp; data('q16304_2') &lt;= 100)</v>
      </c>
      <c r="W60" s="16" t="s">
        <v>1051</v>
      </c>
      <c r="X60" s="63" t="s">
        <v>441</v>
      </c>
      <c r="Y60" s="31" t="b">
        <v>1</v>
      </c>
    </row>
    <row r="61" spans="2:25" s="31" customFormat="1">
      <c r="H61" s="216"/>
      <c r="J61" s="88" t="s">
        <v>42</v>
      </c>
      <c r="K61" s="19"/>
      <c r="L61" s="19"/>
      <c r="O61" s="48"/>
      <c r="S61" s="181"/>
    </row>
    <row r="62" spans="2:25" s="31" customFormat="1">
      <c r="H62" s="216"/>
      <c r="J62" s="88" t="s">
        <v>51</v>
      </c>
      <c r="K62" s="19" t="str">
        <f>CONCATENATE("selected(data('",N54,"'),'1')")</f>
        <v>selected(data('q16301_2'),'1')</v>
      </c>
      <c r="L62" s="19"/>
      <c r="O62" s="48"/>
      <c r="S62" s="181"/>
    </row>
    <row r="63" spans="2:25" s="31" customFormat="1" ht="45">
      <c r="H63" s="216"/>
      <c r="J63" s="88"/>
      <c r="K63" s="19"/>
      <c r="L63" s="19" t="s">
        <v>18</v>
      </c>
      <c r="M63" s="31" t="s">
        <v>17</v>
      </c>
      <c r="N63" s="31" t="str">
        <f>CONCATENATE("q",$I$10, "_", A$15)</f>
        <v>q16305_2</v>
      </c>
      <c r="O63" s="312" t="str">
        <f>CONCATENATE(N63, ". ", SUBSTITUTE($E$10, "[item]",$E$15))</f>
        <v>q16305_2. هل استؤجر جرار صغير (قوة أقل من 12 حصان) خلال الـ12 شهر الماضية؟</v>
      </c>
      <c r="P63" s="117" t="str">
        <f>CONCATENATE(N63, ". ", SUBSTITUTE($B$10, "[item]",$B$15))</f>
        <v>q16305_2. Was the small tractor (&lt;12 horse power) rented out in the last 12 months?</v>
      </c>
      <c r="S63" s="181" t="str">
        <f>CONCATENATE(K55, " &amp;&amp; ", S54)</f>
        <v>selected(data('q16301_2'),'1') &amp;&amp; data('valid_overall') == 1</v>
      </c>
      <c r="Y63" s="31" t="b">
        <v>1</v>
      </c>
    </row>
    <row r="64" spans="2:25" s="31" customFormat="1">
      <c r="H64" s="216"/>
      <c r="J64" s="88" t="s">
        <v>42</v>
      </c>
      <c r="K64" s="19"/>
      <c r="L64" s="19"/>
      <c r="O64" s="312"/>
      <c r="P64" s="117"/>
      <c r="S64" s="181"/>
    </row>
    <row r="65" spans="2:25" s="31" customFormat="1">
      <c r="H65" s="216"/>
      <c r="J65" s="88" t="s">
        <v>23</v>
      </c>
      <c r="K65" s="19" t="str">
        <f>CONCATENATE("selected(data('",N63,"'),'1') &amp;&amp; ",K55)</f>
        <v>selected(data('q16305_2'),'1') &amp;&amp; selected(data('q16301_2'),'1')</v>
      </c>
      <c r="L65" s="19"/>
      <c r="O65" s="48"/>
      <c r="S65" s="181"/>
    </row>
    <row r="66" spans="2:25" s="31" customFormat="1" ht="75">
      <c r="H66" s="216"/>
      <c r="J66" s="92"/>
      <c r="K66" s="19"/>
      <c r="L66" s="19" t="s">
        <v>19</v>
      </c>
      <c r="N66" s="31" t="str">
        <f>CONCATENATE("q",$I$11, "_", A$15)</f>
        <v>q16306_2</v>
      </c>
      <c r="O66" s="312" t="str">
        <f>CONCATENATE(N66, ". ", SUBSTITUTE($E$11, "[item]",$E$15))</f>
        <v>q16306_2. كم كانت قيمة الإيجار (بالجنيه)؟</v>
      </c>
      <c r="P66" s="117" t="str">
        <f>CONCATENATE(N66, ". ", SUBSTITUTE($B$11, "[item]",$B$15))</f>
        <v>q16306_2. What was the value of the rental? (in pounds)</v>
      </c>
      <c r="Q66" s="31" t="str">
        <f>$F$11</f>
        <v>*في حالة لا أعرف سجل  999998</v>
      </c>
      <c r="R66" s="31" t="str">
        <f>$C$11</f>
        <v>*If don't know, write 999998</v>
      </c>
      <c r="S66" s="181" t="str">
        <f>CONCATENATE(K65, " &amp;&amp; ", S54)</f>
        <v>selected(data('q16305_2'),'1') &amp;&amp; selected(data('q16301_2'),'1') &amp;&amp; data('valid_overall') == 1</v>
      </c>
      <c r="Y66" s="31" t="b">
        <v>1</v>
      </c>
    </row>
    <row r="67" spans="2:25" s="31" customFormat="1">
      <c r="H67" s="216"/>
      <c r="J67" s="88" t="s">
        <v>42</v>
      </c>
      <c r="K67" s="19"/>
      <c r="L67" s="19"/>
      <c r="O67" s="48"/>
      <c r="S67" s="181"/>
    </row>
    <row r="68" spans="2:25" s="31" customFormat="1">
      <c r="H68" s="216"/>
      <c r="J68" s="405" t="s">
        <v>21</v>
      </c>
      <c r="K68" s="19"/>
      <c r="L68" s="19"/>
      <c r="O68" s="407"/>
      <c r="S68" s="181"/>
    </row>
    <row r="69" spans="2:25" s="31" customFormat="1">
      <c r="H69" s="216"/>
      <c r="J69" s="405" t="s">
        <v>20</v>
      </c>
      <c r="K69" s="19"/>
      <c r="L69" s="19"/>
      <c r="O69" s="407"/>
      <c r="S69" s="181"/>
    </row>
    <row r="70" spans="2:25" s="117" customFormat="1" ht="60">
      <c r="B70" s="168"/>
      <c r="C70" s="168"/>
      <c r="E70" s="168"/>
      <c r="F70" s="168"/>
      <c r="G70" s="168"/>
      <c r="H70" s="191"/>
      <c r="I70" s="168"/>
      <c r="J70" s="178"/>
      <c r="K70" s="54"/>
      <c r="L70" s="19" t="s">
        <v>18</v>
      </c>
      <c r="M70" s="31" t="s">
        <v>17</v>
      </c>
      <c r="N70" s="117" t="str">
        <f>CONCATENATE("q",$I$6, "_", A$16)</f>
        <v>q16301_3</v>
      </c>
      <c r="O70" s="312" t="str">
        <f>CONCATENATE(N70, ". ", SUBSTITUTE($E$6, "[item]",$E$16))</f>
        <v>q16301_3. هل تمتلك الأسرة أي ممتلكات من محراث آلي  ؟</v>
      </c>
      <c r="P70" s="117" t="str">
        <f>CONCATENATE(N70, ". ", SUBSTITUTE($B$6, "[item]",$B$16))</f>
        <v xml:space="preserve">q16301_3. Does your household own any machine pulled plow or harrower? (Entirely or with sharing)   </v>
      </c>
      <c r="S70" s="117" t="s">
        <v>587</v>
      </c>
    </row>
    <row r="71" spans="2:25" s="31" customFormat="1">
      <c r="B71" s="161"/>
      <c r="C71" s="161"/>
      <c r="E71" s="161"/>
      <c r="F71" s="161"/>
      <c r="G71" s="161"/>
      <c r="H71" s="216"/>
      <c r="I71" s="161"/>
      <c r="J71" s="88" t="s">
        <v>51</v>
      </c>
      <c r="K71" s="19" t="str">
        <f>CONCATENATE("selected(data('",N70,"'),'1')")</f>
        <v>selected(data('q16301_3'),'1')</v>
      </c>
      <c r="L71" s="19"/>
      <c r="O71" s="312"/>
      <c r="P71" s="117"/>
      <c r="S71" s="181"/>
    </row>
    <row r="72" spans="2:25" s="31" customFormat="1" ht="45">
      <c r="H72" s="216"/>
      <c r="J72" s="92"/>
      <c r="K72" s="19"/>
      <c r="L72" s="19" t="s">
        <v>19</v>
      </c>
      <c r="N72" s="31" t="str">
        <f>CONCATENATE("q",$I$7, "_", A$16)</f>
        <v>q16302_3</v>
      </c>
      <c r="O72" s="312" t="str">
        <f>CONCATENATE(N72, ". ", SUBSTITUTE($E$7, "[item]",$E$16))</f>
        <v>q16302_3. كم محراث آلي   تمتلك الأسرة؟</v>
      </c>
      <c r="P72" s="117" t="str">
        <f>CONCATENATE(N72, ". ", SUBSTITUTE($B$7, "[item]",$B$16))</f>
        <v>q16302_3. How many machine pulled plow or harrower does your household own?</v>
      </c>
      <c r="Q72" s="2"/>
      <c r="R72" s="2"/>
      <c r="S72" s="181" t="str">
        <f>CONCATENATE(K71, " &amp;&amp; ", S70)</f>
        <v>selected(data('q16301_3'),'1') &amp;&amp; data('valid_overall') == 1</v>
      </c>
      <c r="T72" s="2"/>
      <c r="U72"/>
      <c r="V72"/>
      <c r="W72"/>
      <c r="X72"/>
      <c r="Y72" s="31" t="b">
        <v>1</v>
      </c>
    </row>
    <row r="73" spans="2:25" s="31" customFormat="1" ht="60">
      <c r="H73" s="216"/>
      <c r="J73" s="92"/>
      <c r="K73" s="19"/>
      <c r="L73" s="19" t="s">
        <v>18</v>
      </c>
      <c r="M73" s="31" t="s">
        <v>17</v>
      </c>
      <c r="N73" s="31" t="str">
        <f>CONCATENATE("q",$I$8, "_", A$16)</f>
        <v>q16303_3</v>
      </c>
      <c r="O73" s="312" t="str">
        <f>CONCATENATE(N73, ". ", SUBSTITUTE($E$8, "[item]",$E$16))</f>
        <v>q16303_3. هل تمتلك الأسرة محراث آلي   مشاركة مع أسر أخرى؟</v>
      </c>
      <c r="P73" s="117" t="str">
        <f>CONCATENATE(N73, ". ", SUBSTITUTE($B$8, "[item]",$B$16))</f>
        <v>q16303_3. Does your household own any machine pulled plow or harrower jointly with any other household?</v>
      </c>
      <c r="S73" s="181" t="str">
        <f>CONCATENATE(K71, " &amp;&amp; ", S70)</f>
        <v>selected(data('q16301_3'),'1') &amp;&amp; data('valid_overall') == 1</v>
      </c>
      <c r="Y73" s="31" t="b">
        <v>1</v>
      </c>
    </row>
    <row r="74" spans="2:25" s="31" customFormat="1">
      <c r="H74" s="216"/>
      <c r="J74" s="139" t="s">
        <v>42</v>
      </c>
      <c r="K74" s="18"/>
      <c r="L74" s="19"/>
      <c r="O74" s="312"/>
      <c r="P74" s="117"/>
      <c r="S74" s="9"/>
    </row>
    <row r="75" spans="2:25" s="31" customFormat="1">
      <c r="H75" s="216"/>
      <c r="J75" s="88" t="s">
        <v>51</v>
      </c>
      <c r="K75" s="19" t="str">
        <f>CONCATENATE("selected(data('",N73,"'),'1') &amp;&amp; ", K71)</f>
        <v>selected(data('q16303_3'),'1') &amp;&amp; selected(data('q16301_3'),'1')</v>
      </c>
      <c r="L75" s="19"/>
      <c r="O75" s="48"/>
      <c r="S75" s="181"/>
    </row>
    <row r="76" spans="2:25" s="31" customFormat="1" ht="90">
      <c r="H76" s="216"/>
      <c r="J76" s="433"/>
      <c r="K76" s="19"/>
      <c r="L76" s="19" t="s">
        <v>19</v>
      </c>
      <c r="N76" s="31" t="str">
        <f>CONCATENATE("q",$I$9, "_", A$16)</f>
        <v>q16304_3</v>
      </c>
      <c r="O76" s="312" t="str">
        <f>CONCATENATE(N76, ". ", SUBSTITUTE($E$9, "[item]",$E$16))</f>
        <v>q16304_3. ما نصيب الأسرة من محراث آلي  ؟</v>
      </c>
      <c r="P76" s="117" t="str">
        <f>CONCATENATE(N76, ". ", SUBSTITUTE($B$9, "[item]",$B$16))</f>
        <v>q16304_3. What share of these machine pulled plow or harrower belong to your household?</v>
      </c>
      <c r="Q76" s="31" t="str">
        <f>$G$9</f>
        <v>سجل النسبة من 0-100. إذا كانت النسبة تختلف من سلعة لأخرى، سجل متوسط نصيب الاسرة.</v>
      </c>
      <c r="R76" s="31" t="str">
        <f>$D$9</f>
        <v>Answer as a percentage (0-100). *If share differs over items, record average share.</v>
      </c>
      <c r="S76" s="181" t="str">
        <f>CONCATENATE(,K75, " &amp;&amp; ",  S70)</f>
        <v>selected(data('q16303_3'),'1') &amp;&amp; selected(data('q16301_3'),'1') &amp;&amp; data('valid_overall') == 1</v>
      </c>
      <c r="V76" s="63" t="str">
        <f>CONCATENATE("(data('",N76,"') &gt;= 0 &amp;&amp; data('",N76,"') &lt;= 100)")</f>
        <v>(data('q16304_3') &gt;= 0 &amp;&amp; data('q16304_3') &lt;= 100)</v>
      </c>
      <c r="W76" s="16" t="s">
        <v>1051</v>
      </c>
      <c r="X76" s="63" t="s">
        <v>441</v>
      </c>
      <c r="Y76" s="31" t="b">
        <v>1</v>
      </c>
    </row>
    <row r="77" spans="2:25" s="31" customFormat="1">
      <c r="H77" s="216"/>
      <c r="J77" s="88" t="s">
        <v>42</v>
      </c>
      <c r="K77" s="19"/>
      <c r="L77" s="19"/>
      <c r="O77" s="48"/>
      <c r="S77" s="181"/>
    </row>
    <row r="78" spans="2:25" s="31" customFormat="1">
      <c r="H78" s="216"/>
      <c r="J78" s="88" t="s">
        <v>51</v>
      </c>
      <c r="K78" s="19" t="str">
        <f>CONCATENATE("selected(data('",N70,"'),'1')")</f>
        <v>selected(data('q16301_3'),'1')</v>
      </c>
      <c r="L78" s="19"/>
      <c r="O78" s="48"/>
      <c r="S78" s="181"/>
    </row>
    <row r="79" spans="2:25" s="31" customFormat="1" ht="45">
      <c r="H79" s="216"/>
      <c r="J79" s="88"/>
      <c r="K79" s="19"/>
      <c r="L79" s="19" t="s">
        <v>18</v>
      </c>
      <c r="M79" s="31" t="s">
        <v>17</v>
      </c>
      <c r="N79" s="31" t="str">
        <f>CONCATENATE("q",$I$10, "_", A$16)</f>
        <v>q16305_3</v>
      </c>
      <c r="O79" s="312" t="str">
        <f>CONCATENATE(N79, ". ", SUBSTITUTE($E$10, "[item]",$E$16))</f>
        <v>q16305_3. هل استؤجر محراث آلي   خلال الـ12 شهر الماضية؟</v>
      </c>
      <c r="P79" s="117" t="str">
        <f>CONCATENATE(N79, ". ", SUBSTITUTE($B$10, "[item]",$B$16))</f>
        <v>q16305_3. Was the machine pulled plow or harrower rented out in the last 12 months?</v>
      </c>
      <c r="S79" s="181" t="str">
        <f>CONCATENATE(K71, " &amp;&amp; ", S70)</f>
        <v>selected(data('q16301_3'),'1') &amp;&amp; data('valid_overall') == 1</v>
      </c>
      <c r="Y79" s="31" t="b">
        <v>1</v>
      </c>
    </row>
    <row r="80" spans="2:25" s="31" customFormat="1">
      <c r="H80" s="216"/>
      <c r="J80" s="88" t="s">
        <v>42</v>
      </c>
      <c r="K80" s="19"/>
      <c r="L80" s="19"/>
      <c r="O80" s="312"/>
      <c r="P80" s="117"/>
      <c r="S80" s="181"/>
    </row>
    <row r="81" spans="2:25" s="31" customFormat="1">
      <c r="H81" s="216"/>
      <c r="J81" s="88" t="s">
        <v>23</v>
      </c>
      <c r="K81" s="19" t="str">
        <f>CONCATENATE("selected(data('",N79,"'),'1') &amp;&amp; ",K71)</f>
        <v>selected(data('q16305_3'),'1') &amp;&amp; selected(data('q16301_3'),'1')</v>
      </c>
      <c r="L81" s="19"/>
      <c r="O81" s="48"/>
      <c r="S81" s="181"/>
    </row>
    <row r="82" spans="2:25" s="31" customFormat="1" ht="75">
      <c r="H82" s="216"/>
      <c r="J82" s="92"/>
      <c r="K82" s="19"/>
      <c r="L82" s="19" t="s">
        <v>19</v>
      </c>
      <c r="N82" s="31" t="str">
        <f>CONCATENATE("q",$I$11, "_", A$16)</f>
        <v>q16306_3</v>
      </c>
      <c r="O82" s="312" t="str">
        <f>CONCATENATE(N82, ". ", SUBSTITUTE($E$11, "[item]",$E$16))</f>
        <v>q16306_3. كم كانت قيمة الإيجار (بالجنيه)؟</v>
      </c>
      <c r="P82" s="117" t="str">
        <f>CONCATENATE(N82, ". ", SUBSTITUTE($B$11, "[item]",$B$16))</f>
        <v>q16306_3. What was the value of the rental? (in pounds)</v>
      </c>
      <c r="Q82" s="31" t="str">
        <f>$F$11</f>
        <v>*في حالة لا أعرف سجل  999998</v>
      </c>
      <c r="R82" s="31" t="str">
        <f>$C$11</f>
        <v>*If don't know, write 999998</v>
      </c>
      <c r="S82" s="181" t="str">
        <f>CONCATENATE(K81, " &amp;&amp; ", S70)</f>
        <v>selected(data('q16305_3'),'1') &amp;&amp; selected(data('q16301_3'),'1') &amp;&amp; data('valid_overall') == 1</v>
      </c>
      <c r="Y82" s="31" t="b">
        <v>1</v>
      </c>
    </row>
    <row r="83" spans="2:25" s="31" customFormat="1">
      <c r="H83" s="216"/>
      <c r="J83" s="88" t="s">
        <v>42</v>
      </c>
      <c r="K83" s="19"/>
      <c r="L83" s="19"/>
      <c r="O83" s="48"/>
      <c r="S83" s="181"/>
    </row>
    <row r="84" spans="2:25" s="31" customFormat="1">
      <c r="H84" s="216"/>
      <c r="J84" s="405" t="s">
        <v>21</v>
      </c>
      <c r="K84" s="19"/>
      <c r="L84" s="19"/>
      <c r="O84" s="407"/>
      <c r="S84" s="181"/>
    </row>
    <row r="85" spans="2:25" s="31" customFormat="1">
      <c r="H85" s="216"/>
      <c r="J85" s="405" t="s">
        <v>20</v>
      </c>
      <c r="K85" s="19"/>
      <c r="L85" s="19"/>
      <c r="O85" s="407"/>
      <c r="S85" s="181"/>
    </row>
    <row r="86" spans="2:25" s="117" customFormat="1" ht="45">
      <c r="B86" s="168"/>
      <c r="C86" s="168"/>
      <c r="E86" s="168"/>
      <c r="F86" s="168"/>
      <c r="G86" s="168"/>
      <c r="H86" s="191"/>
      <c r="I86" s="168"/>
      <c r="J86" s="178"/>
      <c r="K86" s="54"/>
      <c r="L86" s="19" t="s">
        <v>18</v>
      </c>
      <c r="M86" s="31" t="s">
        <v>17</v>
      </c>
      <c r="N86" s="117" t="str">
        <f>CONCATENATE("q",$I$6, "_", A$17)</f>
        <v>q16301_4</v>
      </c>
      <c r="O86" s="312" t="str">
        <f>CONCATENATE(N86, ". ", SUBSTITUTE($E$6, "[item]",$E$17))</f>
        <v>q16301_4. هل تمتلك الأسرة أي ممتلكات من محراث يُجر بحيوان؟</v>
      </c>
      <c r="P86" s="117" t="str">
        <f>CONCATENATE(N86, ". ", SUBSTITUTE($B$6, "[item]",$B$17))</f>
        <v xml:space="preserve">q16301_4. Does your household own any animal pulled plow? (Entirely or with sharing)   </v>
      </c>
      <c r="S86" s="117" t="s">
        <v>587</v>
      </c>
    </row>
    <row r="87" spans="2:25" s="31" customFormat="1">
      <c r="B87" s="161"/>
      <c r="C87" s="161"/>
      <c r="E87" s="161"/>
      <c r="F87" s="161"/>
      <c r="G87" s="161"/>
      <c r="H87" s="216"/>
      <c r="I87" s="161"/>
      <c r="J87" s="88" t="s">
        <v>51</v>
      </c>
      <c r="K87" s="19" t="str">
        <f>CONCATENATE("selected(data('",N86,"'),'1')")</f>
        <v>selected(data('q16301_4'),'1')</v>
      </c>
      <c r="L87" s="19"/>
      <c r="O87" s="312"/>
      <c r="P87" s="117"/>
      <c r="S87" s="181"/>
    </row>
    <row r="88" spans="2:25" s="31" customFormat="1" ht="45">
      <c r="H88" s="216"/>
      <c r="J88" s="92"/>
      <c r="K88" s="19"/>
      <c r="L88" s="19" t="s">
        <v>19</v>
      </c>
      <c r="N88" s="31" t="str">
        <f>CONCATENATE("q",$I$7, "_", A$17)</f>
        <v>q16302_4</v>
      </c>
      <c r="O88" s="312" t="str">
        <f>CONCATENATE(N88, ". ", SUBSTITUTE($E$7, "[item]",$E$17))</f>
        <v>q16302_4. كم محراث يُجر بحيوان تمتلك الأسرة؟</v>
      </c>
      <c r="P88" s="117" t="str">
        <f>CONCATENATE(N88, ". ", SUBSTITUTE($B$7, "[item]",$B$17))</f>
        <v>q16302_4. How many animal pulled plow does your household own?</v>
      </c>
      <c r="Q88" s="2"/>
      <c r="R88" s="2"/>
      <c r="S88" s="181" t="str">
        <f>CONCATENATE(K87, " &amp;&amp; ", S86)</f>
        <v>selected(data('q16301_4'),'1') &amp;&amp; data('valid_overall') == 1</v>
      </c>
      <c r="T88" s="2"/>
      <c r="U88"/>
      <c r="V88"/>
      <c r="W88"/>
      <c r="X88"/>
      <c r="Y88" s="31" t="b">
        <v>1</v>
      </c>
    </row>
    <row r="89" spans="2:25" s="31" customFormat="1" ht="45">
      <c r="H89" s="216"/>
      <c r="J89" s="92"/>
      <c r="K89" s="19"/>
      <c r="L89" s="19" t="s">
        <v>18</v>
      </c>
      <c r="M89" s="31" t="s">
        <v>17</v>
      </c>
      <c r="N89" s="31" t="str">
        <f>CONCATENATE("q",$I$8, "_", A$17)</f>
        <v>q16303_4</v>
      </c>
      <c r="O89" s="312" t="str">
        <f>CONCATENATE(N89, ". ", SUBSTITUTE($E$8, "[item]",$E$17))</f>
        <v>q16303_4. هل تمتلك الأسرة محراث يُجر بحيوان مشاركة مع أسر أخرى؟</v>
      </c>
      <c r="P89" s="117" t="str">
        <f>CONCATENATE(N89, ". ", SUBSTITUTE($B$8, "[item]",$B$17))</f>
        <v>q16303_4. Does your household own any animal pulled plow jointly with any other household?</v>
      </c>
      <c r="S89" s="181" t="str">
        <f>CONCATENATE(K87, " &amp;&amp; ", S86)</f>
        <v>selected(data('q16301_4'),'1') &amp;&amp; data('valid_overall') == 1</v>
      </c>
      <c r="Y89" s="31" t="b">
        <v>1</v>
      </c>
    </row>
    <row r="90" spans="2:25" s="31" customFormat="1">
      <c r="H90" s="216"/>
      <c r="J90" s="139" t="s">
        <v>42</v>
      </c>
      <c r="K90" s="18"/>
      <c r="L90" s="19"/>
      <c r="O90" s="312"/>
      <c r="P90" s="117"/>
      <c r="S90" s="9"/>
    </row>
    <row r="91" spans="2:25" s="31" customFormat="1">
      <c r="H91" s="216"/>
      <c r="J91" s="88" t="s">
        <v>51</v>
      </c>
      <c r="K91" s="19" t="str">
        <f>CONCATENATE("selected(data('",N89,"'),'1') &amp;&amp; ", K87)</f>
        <v>selected(data('q16303_4'),'1') &amp;&amp; selected(data('q16301_4'),'1')</v>
      </c>
      <c r="L91" s="19"/>
      <c r="O91" s="48"/>
      <c r="S91" s="181"/>
    </row>
    <row r="92" spans="2:25" s="31" customFormat="1" ht="90">
      <c r="H92" s="216"/>
      <c r="J92" s="433"/>
      <c r="K92" s="19"/>
      <c r="L92" s="19" t="s">
        <v>19</v>
      </c>
      <c r="N92" s="31" t="str">
        <f>CONCATENATE("q",$I$9, "_", A$17)</f>
        <v>q16304_4</v>
      </c>
      <c r="O92" s="312" t="str">
        <f>CONCATENATE(N92, ". ", SUBSTITUTE($E$9, "[item]",$E$17))</f>
        <v>q16304_4. ما نصيب الأسرة من محراث يُجر بحيوان؟</v>
      </c>
      <c r="P92" s="117" t="str">
        <f>CONCATENATE(N92, ". ", SUBSTITUTE($B$9, "[item]",$B$17))</f>
        <v>q16304_4. What share of these animal pulled plow belong to your household?</v>
      </c>
      <c r="Q92" s="31" t="str">
        <f>$G$9</f>
        <v>سجل النسبة من 0-100. إذا كانت النسبة تختلف من سلعة لأخرى، سجل متوسط نصيب الاسرة.</v>
      </c>
      <c r="R92" s="31" t="str">
        <f>$D$9</f>
        <v>Answer as a percentage (0-100). *If share differs over items, record average share.</v>
      </c>
      <c r="S92" s="181" t="str">
        <f>CONCATENATE(,K91, " &amp;&amp; ",  S86)</f>
        <v>selected(data('q16303_4'),'1') &amp;&amp; selected(data('q16301_4'),'1') &amp;&amp; data('valid_overall') == 1</v>
      </c>
      <c r="V92" s="63" t="str">
        <f>CONCATENATE("(data('",N92,"') &gt;= 0 &amp;&amp; data('",N92,"') &lt;= 100)")</f>
        <v>(data('q16304_4') &gt;= 0 &amp;&amp; data('q16304_4') &lt;= 100)</v>
      </c>
      <c r="W92" s="16" t="s">
        <v>1051</v>
      </c>
      <c r="X92" s="63" t="s">
        <v>441</v>
      </c>
      <c r="Y92" s="31" t="b">
        <v>1</v>
      </c>
    </row>
    <row r="93" spans="2:25" s="31" customFormat="1">
      <c r="H93" s="216"/>
      <c r="J93" s="88" t="s">
        <v>42</v>
      </c>
      <c r="K93" s="19"/>
      <c r="L93" s="19"/>
      <c r="O93" s="48"/>
      <c r="S93" s="181"/>
    </row>
    <row r="94" spans="2:25" s="31" customFormat="1">
      <c r="H94" s="216"/>
      <c r="J94" s="88" t="s">
        <v>51</v>
      </c>
      <c r="K94" s="19" t="str">
        <f>CONCATENATE("selected(data('",N86,"'),'1')")</f>
        <v>selected(data('q16301_4'),'1')</v>
      </c>
      <c r="L94" s="19"/>
      <c r="O94" s="48"/>
      <c r="S94" s="181"/>
    </row>
    <row r="95" spans="2:25" s="31" customFormat="1" ht="45">
      <c r="H95" s="216"/>
      <c r="J95" s="88"/>
      <c r="K95" s="19"/>
      <c r="L95" s="19" t="s">
        <v>18</v>
      </c>
      <c r="M95" s="31" t="s">
        <v>17</v>
      </c>
      <c r="N95" s="31" t="str">
        <f>CONCATENATE("q",$I$10, "_", A$17)</f>
        <v>q16305_4</v>
      </c>
      <c r="O95" s="312" t="str">
        <f>CONCATENATE(N95, ". ", SUBSTITUTE($E$10, "[item]",$E$17))</f>
        <v>q16305_4. هل استؤجر محراث يُجر بحيوان خلال الـ12 شهر الماضية؟</v>
      </c>
      <c r="P95" s="117" t="str">
        <f>CONCATENATE(N95, ". ", SUBSTITUTE($B$10, "[item]",$B$17))</f>
        <v>q16305_4. Was the animal pulled plow rented out in the last 12 months?</v>
      </c>
      <c r="S95" s="181" t="str">
        <f>CONCATENATE(K87, " &amp;&amp; ", S86)</f>
        <v>selected(data('q16301_4'),'1') &amp;&amp; data('valid_overall') == 1</v>
      </c>
      <c r="Y95" s="31" t="b">
        <v>1</v>
      </c>
    </row>
    <row r="96" spans="2:25" s="31" customFormat="1">
      <c r="H96" s="216"/>
      <c r="J96" s="88" t="s">
        <v>42</v>
      </c>
      <c r="K96" s="19"/>
      <c r="L96" s="19"/>
      <c r="O96" s="312"/>
      <c r="P96" s="117"/>
      <c r="S96" s="181"/>
    </row>
    <row r="97" spans="2:25" s="31" customFormat="1">
      <c r="H97" s="216"/>
      <c r="J97" s="88" t="s">
        <v>23</v>
      </c>
      <c r="K97" s="19" t="str">
        <f>CONCATENATE("selected(data('",N95,"'),'1')&amp;&amp; ",K87)</f>
        <v>selected(data('q16305_4'),'1')&amp;&amp; selected(data('q16301_4'),'1')</v>
      </c>
      <c r="L97" s="19"/>
      <c r="O97" s="48"/>
      <c r="S97" s="181"/>
    </row>
    <row r="98" spans="2:25" s="31" customFormat="1" ht="75">
      <c r="H98" s="216"/>
      <c r="J98" s="92"/>
      <c r="K98" s="19"/>
      <c r="L98" s="19" t="s">
        <v>19</v>
      </c>
      <c r="N98" s="31" t="str">
        <f>CONCATENATE("q",$I$11, "_", A$17)</f>
        <v>q16306_4</v>
      </c>
      <c r="O98" s="312" t="str">
        <f>CONCATENATE(N98, ". ", SUBSTITUTE($E$11, "[item]",$E$17))</f>
        <v>q16306_4. كم كانت قيمة الإيجار (بالجنيه)؟</v>
      </c>
      <c r="P98" s="117" t="str">
        <f>CONCATENATE(N98, ". ", SUBSTITUTE($B$11, "[item]",$B$17))</f>
        <v>q16306_4. What was the value of the rental? (in pounds)</v>
      </c>
      <c r="Q98" s="31" t="str">
        <f>$F$11</f>
        <v>*في حالة لا أعرف سجل  999998</v>
      </c>
      <c r="R98" s="31" t="str">
        <f>$C$11</f>
        <v>*If don't know, write 999998</v>
      </c>
      <c r="S98" s="181" t="str">
        <f>CONCATENATE(K97, " &amp;&amp; ", S86)</f>
        <v>selected(data('q16305_4'),'1')&amp;&amp; selected(data('q16301_4'),'1') &amp;&amp; data('valid_overall') == 1</v>
      </c>
      <c r="Y98" s="31" t="b">
        <v>1</v>
      </c>
    </row>
    <row r="99" spans="2:25" s="31" customFormat="1">
      <c r="H99" s="216"/>
      <c r="J99" s="88" t="s">
        <v>42</v>
      </c>
      <c r="K99" s="19"/>
      <c r="L99" s="19"/>
      <c r="O99" s="48"/>
      <c r="S99" s="181"/>
    </row>
    <row r="100" spans="2:25" s="31" customFormat="1">
      <c r="H100" s="216"/>
      <c r="J100" s="405" t="s">
        <v>21</v>
      </c>
      <c r="K100" s="19"/>
      <c r="L100" s="19"/>
      <c r="O100" s="407"/>
      <c r="S100" s="181"/>
    </row>
    <row r="101" spans="2:25" s="31" customFormat="1">
      <c r="H101" s="216"/>
      <c r="J101" s="405" t="s">
        <v>20</v>
      </c>
      <c r="K101" s="19"/>
      <c r="L101" s="19"/>
      <c r="O101" s="407"/>
      <c r="S101" s="181"/>
    </row>
    <row r="102" spans="2:25" s="117" customFormat="1" ht="45">
      <c r="B102" s="168"/>
      <c r="C102" s="168"/>
      <c r="E102" s="168"/>
      <c r="F102" s="168"/>
      <c r="G102" s="168"/>
      <c r="H102" s="191"/>
      <c r="I102" s="168"/>
      <c r="J102" s="54"/>
      <c r="K102" s="54"/>
      <c r="L102" s="19" t="s">
        <v>18</v>
      </c>
      <c r="M102" s="31" t="s">
        <v>17</v>
      </c>
      <c r="N102" s="117" t="str">
        <f>CONCATENATE("q",$I$6, "_", A$18)</f>
        <v>q16301_5</v>
      </c>
      <c r="O102" s="312" t="str">
        <f>CONCATENATE(N102, ". ", SUBSTITUTE($E$6, "[item]",$E$18))</f>
        <v>q16301_5. هل تمتلك الأسرة أي ممتلكات من شبكة ري بنظام التنقيط؟</v>
      </c>
      <c r="P102" s="117" t="str">
        <f>CONCATENATE(N102, ". ", SUBSTITUTE($B$6, "[item]",$B$18))</f>
        <v xml:space="preserve">q16301_5. Does your household own any drip irrigation system? (Entirely or with sharing)   </v>
      </c>
      <c r="S102" s="117" t="s">
        <v>587</v>
      </c>
    </row>
    <row r="103" spans="2:25" s="31" customFormat="1">
      <c r="B103" s="161"/>
      <c r="C103" s="161"/>
      <c r="E103" s="161"/>
      <c r="F103" s="161"/>
      <c r="G103" s="161"/>
      <c r="H103" s="216"/>
      <c r="I103" s="161"/>
      <c r="J103" s="88" t="s">
        <v>51</v>
      </c>
      <c r="K103" s="19" t="str">
        <f>CONCATENATE("selected(data('",N102,"'),'1')")</f>
        <v>selected(data('q16301_5'),'1')</v>
      </c>
      <c r="L103" s="19"/>
      <c r="O103" s="312"/>
      <c r="P103" s="117"/>
      <c r="S103" s="181"/>
    </row>
    <row r="104" spans="2:25" s="31" customFormat="1" ht="45">
      <c r="H104" s="216"/>
      <c r="J104" s="92"/>
      <c r="K104" s="19"/>
      <c r="L104" s="19" t="s">
        <v>19</v>
      </c>
      <c r="N104" s="31" t="str">
        <f>CONCATENATE("q",$I$7, "_", A$18)</f>
        <v>q16302_5</v>
      </c>
      <c r="O104" s="312" t="str">
        <f>CONCATENATE(N104, ". ", SUBSTITUTE($E$7, "[item]",$E$18))</f>
        <v>q16302_5. كم شبكة ري بنظام التنقيط تمتلك الأسرة؟</v>
      </c>
      <c r="P104" s="117" t="str">
        <f>CONCATENATE(N104, ". ", SUBSTITUTE($B$7, "[item]",$B$18))</f>
        <v>q16302_5. How many drip irrigation system does your household own?</v>
      </c>
      <c r="S104" s="181" t="str">
        <f>CONCATENATE(K103, " &amp;&amp; ", S102)</f>
        <v>selected(data('q16301_5'),'1') &amp;&amp; data('valid_overall') == 1</v>
      </c>
      <c r="V104" s="63"/>
      <c r="W104" s="63"/>
      <c r="X104" s="63"/>
      <c r="Y104" s="31" t="b">
        <v>1</v>
      </c>
    </row>
    <row r="105" spans="2:25" s="31" customFormat="1" ht="45">
      <c r="H105" s="216"/>
      <c r="J105" s="92"/>
      <c r="K105" s="19"/>
      <c r="L105" s="19" t="s">
        <v>18</v>
      </c>
      <c r="M105" s="31" t="s">
        <v>17</v>
      </c>
      <c r="N105" s="31" t="str">
        <f>CONCATENATE("q",$I$8, "_", A$18)</f>
        <v>q16303_5</v>
      </c>
      <c r="O105" s="312" t="str">
        <f>CONCATENATE(N105, ". ", SUBSTITUTE($E$8, "[item]",$E$18))</f>
        <v>q16303_5. هل تمتلك الأسرة شبكة ري بنظام التنقيط مشاركة مع أسر أخرى؟</v>
      </c>
      <c r="P105" s="117" t="str">
        <f>CONCATENATE(N105, ". ", SUBSTITUTE($B$8, "[item]",$B$18))</f>
        <v>q16303_5. Does your household own any drip irrigation system jointly with any other household?</v>
      </c>
      <c r="S105" s="181" t="str">
        <f>CONCATENATE(K103, " &amp;&amp; ", S102)</f>
        <v>selected(data('q16301_5'),'1') &amp;&amp; data('valid_overall') == 1</v>
      </c>
      <c r="Y105" s="31" t="b">
        <v>1</v>
      </c>
    </row>
    <row r="106" spans="2:25" s="31" customFormat="1">
      <c r="H106" s="216"/>
      <c r="J106" s="139" t="s">
        <v>42</v>
      </c>
      <c r="K106" s="18"/>
      <c r="L106" s="19"/>
      <c r="O106" s="312"/>
      <c r="P106" s="117"/>
      <c r="S106" s="9"/>
    </row>
    <row r="107" spans="2:25" s="31" customFormat="1">
      <c r="H107" s="216"/>
      <c r="J107" s="88" t="s">
        <v>51</v>
      </c>
      <c r="K107" s="19" t="str">
        <f>CONCATENATE("selected(data('",N105,"'),'1') &amp;&amp; ", K103)</f>
        <v>selected(data('q16303_5'),'1') &amp;&amp; selected(data('q16301_5'),'1')</v>
      </c>
      <c r="L107" s="19"/>
      <c r="O107" s="48"/>
      <c r="S107" s="181"/>
    </row>
    <row r="108" spans="2:25" s="31" customFormat="1" ht="90">
      <c r="H108" s="216"/>
      <c r="J108" s="433"/>
      <c r="K108" s="19"/>
      <c r="L108" s="19" t="s">
        <v>19</v>
      </c>
      <c r="N108" s="31" t="str">
        <f>CONCATENATE("q",$I$9, "_", A$18)</f>
        <v>q16304_5</v>
      </c>
      <c r="O108" s="312" t="str">
        <f>CONCATENATE(N108, ". ", SUBSTITUTE($E$9, "[item]",$E$18))</f>
        <v>q16304_5. ما نصيب الأسرة من شبكة ري بنظام التنقيط؟</v>
      </c>
      <c r="P108" s="117" t="str">
        <f>CONCATENATE(N108, ". ", SUBSTITUTE($B$9, "[item]",$B$18))</f>
        <v>q16304_5. What share of these drip irrigation system belong to your household?</v>
      </c>
      <c r="Q108" s="31" t="str">
        <f>$G$9</f>
        <v>سجل النسبة من 0-100. إذا كانت النسبة تختلف من سلعة لأخرى، سجل متوسط نصيب الاسرة.</v>
      </c>
      <c r="R108" s="31" t="str">
        <f>$D$9</f>
        <v>Answer as a percentage (0-100). *If share differs over items, record average share.</v>
      </c>
      <c r="S108" s="181" t="str">
        <f>CONCATENATE(,K107, " &amp;&amp; ",  S102)</f>
        <v>selected(data('q16303_5'),'1') &amp;&amp; selected(data('q16301_5'),'1') &amp;&amp; data('valid_overall') == 1</v>
      </c>
      <c r="V108" s="63" t="str">
        <f>CONCATENATE("(data('",N108,"') &gt;= 0 &amp;&amp; data('",N108,"') &lt;= 100)")</f>
        <v>(data('q16304_5') &gt;= 0 &amp;&amp; data('q16304_5') &lt;= 100)</v>
      </c>
      <c r="W108" s="16" t="s">
        <v>1051</v>
      </c>
      <c r="X108" s="63" t="s">
        <v>441</v>
      </c>
      <c r="Y108" s="31" t="b">
        <v>1</v>
      </c>
    </row>
    <row r="109" spans="2:25" s="31" customFormat="1">
      <c r="H109" s="216"/>
      <c r="J109" s="88" t="s">
        <v>42</v>
      </c>
      <c r="K109" s="19"/>
      <c r="L109" s="19"/>
      <c r="O109" s="48"/>
      <c r="S109" s="181"/>
    </row>
    <row r="110" spans="2:25" s="31" customFormat="1">
      <c r="H110" s="216"/>
      <c r="J110" s="88" t="s">
        <v>51</v>
      </c>
      <c r="K110" s="19" t="str">
        <f>CONCATENATE("selected(data('",N102,"'),'1')")</f>
        <v>selected(data('q16301_5'),'1')</v>
      </c>
      <c r="L110" s="19"/>
      <c r="O110" s="48"/>
      <c r="S110" s="181"/>
    </row>
    <row r="111" spans="2:25" s="31" customFormat="1" ht="45">
      <c r="H111" s="216"/>
      <c r="J111" s="88"/>
      <c r="K111" s="19"/>
      <c r="L111" s="19" t="s">
        <v>18</v>
      </c>
      <c r="M111" s="31" t="s">
        <v>17</v>
      </c>
      <c r="N111" s="31" t="str">
        <f>CONCATENATE("q",$I$10, "_", A$18)</f>
        <v>q16305_5</v>
      </c>
      <c r="O111" s="312" t="str">
        <f>CONCATENATE(N111, ". ", SUBSTITUTE($E$10, "[item]",$E$18))</f>
        <v>q16305_5. هل استؤجر شبكة ري بنظام التنقيط خلال الـ12 شهر الماضية؟</v>
      </c>
      <c r="P111" s="117" t="str">
        <f>CONCATENATE(N111, ". ", SUBSTITUTE($B$10, "[item]",$B$18))</f>
        <v>q16305_5. Was the drip irrigation system rented out in the last 12 months?</v>
      </c>
      <c r="S111" s="181" t="str">
        <f>CONCATENATE(K103, " &amp;&amp; ", S102)</f>
        <v>selected(data('q16301_5'),'1') &amp;&amp; data('valid_overall') == 1</v>
      </c>
      <c r="Y111" s="31" t="b">
        <v>1</v>
      </c>
    </row>
    <row r="112" spans="2:25" s="31" customFormat="1">
      <c r="H112" s="216"/>
      <c r="J112" s="88" t="s">
        <v>42</v>
      </c>
      <c r="K112" s="19"/>
      <c r="L112" s="19"/>
      <c r="O112" s="312"/>
      <c r="P112" s="117"/>
      <c r="S112" s="181"/>
    </row>
    <row r="113" spans="2:25" s="31" customFormat="1">
      <c r="H113" s="216"/>
      <c r="J113" s="88" t="s">
        <v>23</v>
      </c>
      <c r="K113" s="19" t="str">
        <f>CONCATENATE("selected(data('",N111,"'),'1')&amp;&amp; ",K103)</f>
        <v>selected(data('q16305_5'),'1')&amp;&amp; selected(data('q16301_5'),'1')</v>
      </c>
      <c r="L113" s="19"/>
      <c r="O113" s="48"/>
      <c r="S113" s="181"/>
    </row>
    <row r="114" spans="2:25" s="31" customFormat="1" ht="75">
      <c r="H114" s="216"/>
      <c r="J114" s="92"/>
      <c r="K114" s="19"/>
      <c r="L114" s="19" t="s">
        <v>19</v>
      </c>
      <c r="N114" s="31" t="str">
        <f>CONCATENATE("q",$I$11, "_", A$18)</f>
        <v>q16306_5</v>
      </c>
      <c r="O114" s="312" t="str">
        <f>CONCATENATE(N114, ". ", SUBSTITUTE($E$11, "[item]",$E$18))</f>
        <v>q16306_5. كم كانت قيمة الإيجار (بالجنيه)؟</v>
      </c>
      <c r="P114" s="117" t="str">
        <f>CONCATENATE(N114, ". ", SUBSTITUTE($B$11, "[item]",$B$18))</f>
        <v>q16306_5. What was the value of the rental? (in pounds)</v>
      </c>
      <c r="Q114" s="31" t="str">
        <f>$F$11</f>
        <v>*في حالة لا أعرف سجل  999998</v>
      </c>
      <c r="R114" s="31" t="str">
        <f>$C$11</f>
        <v>*If don't know, write 999998</v>
      </c>
      <c r="S114" s="181" t="str">
        <f>CONCATENATE(K113, " &amp;&amp; ", S102)</f>
        <v>selected(data('q16305_5'),'1')&amp;&amp; selected(data('q16301_5'),'1') &amp;&amp; data('valid_overall') == 1</v>
      </c>
      <c r="Y114" s="31" t="b">
        <v>1</v>
      </c>
    </row>
    <row r="115" spans="2:25" s="31" customFormat="1">
      <c r="H115" s="216"/>
      <c r="J115" s="88" t="s">
        <v>42</v>
      </c>
      <c r="K115" s="19"/>
      <c r="L115" s="19"/>
      <c r="O115" s="48"/>
      <c r="S115" s="181"/>
    </row>
    <row r="116" spans="2:25" s="31" customFormat="1">
      <c r="H116" s="216"/>
      <c r="J116" s="405" t="s">
        <v>21</v>
      </c>
      <c r="K116" s="19"/>
      <c r="L116" s="19"/>
      <c r="O116" s="407"/>
      <c r="S116" s="181"/>
    </row>
    <row r="117" spans="2:25" s="31" customFormat="1">
      <c r="H117" s="216"/>
      <c r="J117" s="405" t="s">
        <v>20</v>
      </c>
      <c r="K117" s="19"/>
      <c r="L117" s="19"/>
      <c r="O117" s="407"/>
      <c r="S117" s="181"/>
    </row>
    <row r="118" spans="2:25" s="117" customFormat="1" ht="45">
      <c r="B118" s="168"/>
      <c r="C118" s="168"/>
      <c r="E118" s="168"/>
      <c r="F118" s="168"/>
      <c r="G118" s="168"/>
      <c r="H118" s="191"/>
      <c r="I118" s="168"/>
      <c r="J118" s="178"/>
      <c r="K118" s="54"/>
      <c r="L118" s="19" t="s">
        <v>18</v>
      </c>
      <c r="M118" s="31" t="s">
        <v>17</v>
      </c>
      <c r="N118" s="117" t="str">
        <f>CONCATENATE("q",$I$6, "_", A$19)</f>
        <v>q16301_6</v>
      </c>
      <c r="O118" s="312" t="str">
        <f>CONCATENATE(N118, ". ", SUBSTITUTE($E$6, "[item]",$E$19))</f>
        <v>q16301_6. هل تمتلك الأسرة أي ممتلكات من نظام ري بالرش؟</v>
      </c>
      <c r="P118" s="117" t="str">
        <f>CONCATENATE(N118, ". ", SUBSTITUTE($B$6, "[item]",$B$19))</f>
        <v xml:space="preserve">q16301_6. Does your household own any sprinkler? (Entirely or with sharing)   </v>
      </c>
      <c r="S118" s="117" t="s">
        <v>587</v>
      </c>
    </row>
    <row r="119" spans="2:25" s="31" customFormat="1">
      <c r="B119" s="161"/>
      <c r="C119" s="161"/>
      <c r="E119" s="161"/>
      <c r="F119" s="161"/>
      <c r="G119" s="161"/>
      <c r="H119" s="216"/>
      <c r="I119" s="161"/>
      <c r="J119" s="88" t="s">
        <v>51</v>
      </c>
      <c r="K119" s="19" t="str">
        <f>CONCATENATE("selected(data('",N118,"'),'1')")</f>
        <v>selected(data('q16301_6'),'1')</v>
      </c>
      <c r="L119" s="19"/>
      <c r="O119" s="312"/>
      <c r="P119" s="117"/>
      <c r="S119" s="181"/>
    </row>
    <row r="120" spans="2:25" s="31" customFormat="1" ht="45">
      <c r="H120" s="216"/>
      <c r="J120" s="92"/>
      <c r="K120" s="19"/>
      <c r="L120" s="19" t="s">
        <v>19</v>
      </c>
      <c r="N120" s="31" t="str">
        <f>CONCATENATE("q",$I$7, "_", A$19)</f>
        <v>q16302_6</v>
      </c>
      <c r="O120" s="312" t="str">
        <f>CONCATENATE(N120, ". ", SUBSTITUTE($E$7, "[item]",$E$19))</f>
        <v>q16302_6. كم نظام ري بالرش تمتلك الأسرة؟</v>
      </c>
      <c r="P120" s="117" t="str">
        <f>CONCATENATE(N120, ". ", SUBSTITUTE($B$7, "[item]",$B$19))</f>
        <v>q16302_6. How many sprinkler does your household own?</v>
      </c>
      <c r="Q120" s="2"/>
      <c r="R120" s="2"/>
      <c r="S120" s="181" t="str">
        <f>CONCATENATE(K119, " &amp;&amp; ", S118)</f>
        <v>selected(data('q16301_6'),'1') &amp;&amp; data('valid_overall') == 1</v>
      </c>
      <c r="T120" s="2"/>
      <c r="U120"/>
      <c r="V120"/>
      <c r="W120"/>
      <c r="X120"/>
      <c r="Y120" s="31" t="b">
        <v>1</v>
      </c>
    </row>
    <row r="121" spans="2:25" s="31" customFormat="1" ht="45">
      <c r="H121" s="216"/>
      <c r="J121" s="92"/>
      <c r="K121" s="19"/>
      <c r="L121" s="19" t="s">
        <v>18</v>
      </c>
      <c r="M121" s="31" t="s">
        <v>17</v>
      </c>
      <c r="N121" s="31" t="str">
        <f>CONCATENATE("q",$I$8, "_", A$19)</f>
        <v>q16303_6</v>
      </c>
      <c r="O121" s="312" t="str">
        <f>CONCATENATE(N121, ". ", SUBSTITUTE($E$8, "[item]",$E$19))</f>
        <v>q16303_6. هل تمتلك الأسرة نظام ري بالرش مشاركة مع أسر أخرى؟</v>
      </c>
      <c r="P121" s="117" t="str">
        <f>CONCATENATE(N121, ". ", SUBSTITUTE($B$8, "[item]",$B$19))</f>
        <v>q16303_6. Does your household own any sprinkler jointly with any other household?</v>
      </c>
      <c r="S121" s="181" t="str">
        <f>CONCATENATE(K119, " &amp;&amp; ", S118)</f>
        <v>selected(data('q16301_6'),'1') &amp;&amp; data('valid_overall') == 1</v>
      </c>
      <c r="Y121" s="31" t="b">
        <v>1</v>
      </c>
    </row>
    <row r="122" spans="2:25" s="31" customFormat="1">
      <c r="H122" s="216"/>
      <c r="J122" s="139" t="s">
        <v>42</v>
      </c>
      <c r="K122" s="18"/>
      <c r="L122" s="19"/>
      <c r="O122" s="312"/>
      <c r="P122" s="117"/>
      <c r="S122" s="9"/>
    </row>
    <row r="123" spans="2:25" s="31" customFormat="1">
      <c r="H123" s="216"/>
      <c r="J123" s="88" t="s">
        <v>51</v>
      </c>
      <c r="K123" s="19" t="str">
        <f>CONCATENATE("selected(data('",N121,"'),'1') &amp;&amp; ", K119)</f>
        <v>selected(data('q16303_6'),'1') &amp;&amp; selected(data('q16301_6'),'1')</v>
      </c>
      <c r="L123" s="19"/>
      <c r="O123" s="48"/>
      <c r="S123" s="181"/>
    </row>
    <row r="124" spans="2:25" s="31" customFormat="1" ht="90">
      <c r="H124" s="216"/>
      <c r="J124" s="433"/>
      <c r="K124" s="19"/>
      <c r="L124" s="19" t="s">
        <v>19</v>
      </c>
      <c r="N124" s="31" t="str">
        <f>CONCATENATE("q",$I$9, "_", A$19)</f>
        <v>q16304_6</v>
      </c>
      <c r="O124" s="312" t="str">
        <f>CONCATENATE(N124, ". ", SUBSTITUTE($E$9, "[item]",$E$19))</f>
        <v>q16304_6. ما نصيب الأسرة من نظام ري بالرش؟</v>
      </c>
      <c r="P124" s="117" t="str">
        <f>CONCATENATE(N124, ". ", SUBSTITUTE($B$9, "[item]",$B$19))</f>
        <v>q16304_6. What share of these sprinkler belong to your household?</v>
      </c>
      <c r="Q124" s="31" t="str">
        <f>$G$9</f>
        <v>سجل النسبة من 0-100. إذا كانت النسبة تختلف من سلعة لأخرى، سجل متوسط نصيب الاسرة.</v>
      </c>
      <c r="R124" s="31" t="str">
        <f>$D$9</f>
        <v>Answer as a percentage (0-100). *If share differs over items, record average share.</v>
      </c>
      <c r="S124" s="181" t="str">
        <f>CONCATENATE(,K123, " &amp;&amp; ",  S118)</f>
        <v>selected(data('q16303_6'),'1') &amp;&amp; selected(data('q16301_6'),'1') &amp;&amp; data('valid_overall') == 1</v>
      </c>
      <c r="V124" s="63" t="str">
        <f>CONCATENATE("(data('",N124,"') &gt;= 0 &amp;&amp; data('",N124,"') &lt;= 100)")</f>
        <v>(data('q16304_6') &gt;= 0 &amp;&amp; data('q16304_6') &lt;= 100)</v>
      </c>
      <c r="W124" s="16" t="s">
        <v>1051</v>
      </c>
      <c r="X124" s="63" t="s">
        <v>441</v>
      </c>
      <c r="Y124" s="31" t="b">
        <v>1</v>
      </c>
    </row>
    <row r="125" spans="2:25" s="31" customFormat="1">
      <c r="H125" s="216"/>
      <c r="J125" s="88" t="s">
        <v>42</v>
      </c>
      <c r="K125" s="19"/>
      <c r="L125" s="19"/>
      <c r="O125" s="48"/>
      <c r="S125" s="181"/>
    </row>
    <row r="126" spans="2:25" s="31" customFormat="1">
      <c r="H126" s="216"/>
      <c r="J126" s="88" t="s">
        <v>51</v>
      </c>
      <c r="K126" s="19" t="str">
        <f>CONCATENATE("selected(data('",N118,"'),'1')")</f>
        <v>selected(data('q16301_6'),'1')</v>
      </c>
      <c r="L126" s="19"/>
      <c r="O126" s="48"/>
      <c r="S126" s="181"/>
    </row>
    <row r="127" spans="2:25" s="31" customFormat="1" ht="45">
      <c r="H127" s="216"/>
      <c r="J127" s="88"/>
      <c r="K127" s="19"/>
      <c r="L127" s="19" t="s">
        <v>18</v>
      </c>
      <c r="M127" s="31" t="s">
        <v>17</v>
      </c>
      <c r="N127" s="31" t="str">
        <f>CONCATENATE("q",$I$10, "_", A$19)</f>
        <v>q16305_6</v>
      </c>
      <c r="O127" s="312" t="str">
        <f>CONCATENATE(N127, ". ", SUBSTITUTE($E$10, "[item]",$E$19))</f>
        <v>q16305_6. هل استؤجر نظام ري بالرش خلال الـ12 شهر الماضية؟</v>
      </c>
      <c r="P127" s="117" t="str">
        <f>CONCATENATE(N127, ". ", SUBSTITUTE($B$10, "[item]",$B$19))</f>
        <v>q16305_6. Was the sprinkler rented out in the last 12 months?</v>
      </c>
      <c r="S127" s="181" t="str">
        <f>CONCATENATE(K119, " &amp;&amp; ", S118)</f>
        <v>selected(data('q16301_6'),'1') &amp;&amp; data('valid_overall') == 1</v>
      </c>
      <c r="Y127" s="31" t="b">
        <v>1</v>
      </c>
    </row>
    <row r="128" spans="2:25" s="31" customFormat="1">
      <c r="H128" s="216"/>
      <c r="J128" s="88" t="s">
        <v>42</v>
      </c>
      <c r="K128" s="19"/>
      <c r="L128" s="19"/>
      <c r="O128" s="312"/>
      <c r="P128" s="117"/>
      <c r="S128" s="181"/>
    </row>
    <row r="129" spans="2:25" s="31" customFormat="1">
      <c r="H129" s="216"/>
      <c r="J129" s="88" t="s">
        <v>23</v>
      </c>
      <c r="K129" s="19" t="str">
        <f>CONCATENATE("selected(data('",N127,"'),'1')&amp;&amp; ",K119)</f>
        <v>selected(data('q16305_6'),'1')&amp;&amp; selected(data('q16301_6'),'1')</v>
      </c>
      <c r="L129" s="19"/>
      <c r="O129" s="48"/>
      <c r="S129" s="181"/>
    </row>
    <row r="130" spans="2:25" s="31" customFormat="1" ht="75">
      <c r="H130" s="216"/>
      <c r="J130" s="92"/>
      <c r="K130" s="19"/>
      <c r="L130" s="19" t="s">
        <v>19</v>
      </c>
      <c r="N130" s="31" t="str">
        <f>CONCATENATE("q",$I$11, "_", A$19)</f>
        <v>q16306_6</v>
      </c>
      <c r="O130" s="312" t="str">
        <f>CONCATENATE(N130, ". ", SUBSTITUTE($E$11, "[item]",$E$19))</f>
        <v>q16306_6. كم كانت قيمة الإيجار (بالجنيه)؟</v>
      </c>
      <c r="P130" s="117" t="str">
        <f>CONCATENATE(N130, ". ", SUBSTITUTE($B$11, "[item]",$B$19))</f>
        <v>q16306_6. What was the value of the rental? (in pounds)</v>
      </c>
      <c r="Q130" s="31" t="str">
        <f>$F$11</f>
        <v>*في حالة لا أعرف سجل  999998</v>
      </c>
      <c r="R130" s="31" t="str">
        <f>$C$11</f>
        <v>*If don't know, write 999998</v>
      </c>
      <c r="S130" s="181" t="str">
        <f>CONCATENATE(K129, " &amp;&amp; ", S118)</f>
        <v>selected(data('q16305_6'),'1')&amp;&amp; selected(data('q16301_6'),'1') &amp;&amp; data('valid_overall') == 1</v>
      </c>
      <c r="Y130" s="31" t="b">
        <v>1</v>
      </c>
    </row>
    <row r="131" spans="2:25" s="31" customFormat="1">
      <c r="H131" s="216"/>
      <c r="J131" s="88" t="s">
        <v>42</v>
      </c>
      <c r="K131" s="19"/>
      <c r="L131" s="19"/>
      <c r="O131" s="48"/>
      <c r="S131" s="181"/>
    </row>
    <row r="132" spans="2:25" s="31" customFormat="1">
      <c r="H132" s="216"/>
      <c r="J132" s="405" t="s">
        <v>21</v>
      </c>
      <c r="K132" s="19"/>
      <c r="L132" s="19"/>
      <c r="O132" s="407"/>
      <c r="S132" s="181"/>
    </row>
    <row r="133" spans="2:25" s="31" customFormat="1">
      <c r="H133" s="216"/>
      <c r="J133" s="405" t="s">
        <v>20</v>
      </c>
      <c r="K133" s="19"/>
      <c r="L133" s="19"/>
      <c r="O133" s="407"/>
      <c r="S133" s="181"/>
    </row>
    <row r="134" spans="2:25" s="117" customFormat="1" ht="45">
      <c r="B134" s="168"/>
      <c r="C134" s="168"/>
      <c r="E134" s="168"/>
      <c r="F134" s="168"/>
      <c r="G134" s="168"/>
      <c r="H134" s="191"/>
      <c r="I134" s="168"/>
      <c r="J134" s="178"/>
      <c r="K134" s="54"/>
      <c r="L134" s="19" t="s">
        <v>18</v>
      </c>
      <c r="M134" s="31" t="s">
        <v>17</v>
      </c>
      <c r="N134" s="117" t="str">
        <f>CONCATENATE("q",$I$6, "_", A$20)</f>
        <v>q16301_7</v>
      </c>
      <c r="O134" s="312" t="str">
        <f>CONCATENATE(N134, ". ", SUBSTITUTE($E$6, "[item]",$E$20))</f>
        <v>q16301_7. هل تمتلك الأسرة أي ممتلكات من طلمبة ميكانيكية؟</v>
      </c>
      <c r="P134" s="117" t="str">
        <f>CONCATENATE(N134, ". ", SUBSTITUTE($B$6, "[item]",$B$20))</f>
        <v xml:space="preserve">q16301_7. Does your household own any mechanical water pump? (Entirely or with sharing)   </v>
      </c>
      <c r="S134" s="117" t="s">
        <v>587</v>
      </c>
    </row>
    <row r="135" spans="2:25" s="31" customFormat="1">
      <c r="B135" s="161"/>
      <c r="C135" s="161"/>
      <c r="E135" s="161"/>
      <c r="F135" s="161"/>
      <c r="G135" s="161"/>
      <c r="H135" s="216"/>
      <c r="I135" s="161"/>
      <c r="J135" s="88" t="s">
        <v>51</v>
      </c>
      <c r="K135" s="19" t="str">
        <f>CONCATENATE("selected(data('",N134,"'),'1')")</f>
        <v>selected(data('q16301_7'),'1')</v>
      </c>
      <c r="L135" s="19"/>
      <c r="O135" s="312"/>
      <c r="P135" s="117"/>
      <c r="S135" s="181"/>
    </row>
    <row r="136" spans="2:25" s="31" customFormat="1" ht="45">
      <c r="H136" s="216"/>
      <c r="J136" s="92"/>
      <c r="K136" s="19"/>
      <c r="L136" s="19" t="s">
        <v>19</v>
      </c>
      <c r="N136" s="31" t="str">
        <f>CONCATENATE("q",$I$7, "_", A$20)</f>
        <v>q16302_7</v>
      </c>
      <c r="O136" s="312" t="str">
        <f>CONCATENATE(N136, ". ", SUBSTITUTE($E$7, "[item]",$E$20))</f>
        <v>q16302_7. كم طلمبة ميكانيكية تمتلك الأسرة؟</v>
      </c>
      <c r="P136" s="117" t="str">
        <f>CONCATENATE(N136, ". ", SUBSTITUTE($B$7, "[item]",$B$20))</f>
        <v>q16302_7. How many mechanical water pump does your household own?</v>
      </c>
      <c r="Q136" s="2"/>
      <c r="R136" s="2"/>
      <c r="S136" s="181" t="str">
        <f>CONCATENATE(K135, " &amp;&amp; ", S134)</f>
        <v>selected(data('q16301_7'),'1') &amp;&amp; data('valid_overall') == 1</v>
      </c>
      <c r="T136" s="2"/>
      <c r="U136"/>
      <c r="V136"/>
      <c r="W136"/>
      <c r="X136"/>
      <c r="Y136" s="31" t="b">
        <v>1</v>
      </c>
    </row>
    <row r="137" spans="2:25" s="31" customFormat="1" ht="45">
      <c r="H137" s="216"/>
      <c r="J137" s="92"/>
      <c r="K137" s="19"/>
      <c r="L137" s="19" t="s">
        <v>18</v>
      </c>
      <c r="M137" s="31" t="s">
        <v>17</v>
      </c>
      <c r="N137" s="31" t="str">
        <f>CONCATENATE("q",$I$8, "_", A$20)</f>
        <v>q16303_7</v>
      </c>
      <c r="O137" s="312" t="str">
        <f>CONCATENATE(N137, ". ", SUBSTITUTE($E$8, "[item]",$E$20))</f>
        <v>q16303_7. هل تمتلك الأسرة طلمبة ميكانيكية مشاركة مع أسر أخرى؟</v>
      </c>
      <c r="P137" s="117" t="str">
        <f>CONCATENATE(N137, ". ", SUBSTITUTE($B$8, "[item]",$B$20))</f>
        <v>q16303_7. Does your household own any mechanical water pump jointly with any other household?</v>
      </c>
      <c r="S137" s="181" t="str">
        <f>CONCATENATE(K135, " &amp;&amp; ", S134)</f>
        <v>selected(data('q16301_7'),'1') &amp;&amp; data('valid_overall') == 1</v>
      </c>
      <c r="Y137" s="31" t="b">
        <v>1</v>
      </c>
    </row>
    <row r="138" spans="2:25" s="31" customFormat="1">
      <c r="H138" s="216"/>
      <c r="J138" s="139" t="s">
        <v>42</v>
      </c>
      <c r="K138" s="18"/>
      <c r="L138" s="19"/>
      <c r="O138" s="312"/>
      <c r="P138" s="117"/>
      <c r="S138" s="9"/>
    </row>
    <row r="139" spans="2:25" s="31" customFormat="1">
      <c r="H139" s="216"/>
      <c r="J139" s="88" t="s">
        <v>51</v>
      </c>
      <c r="K139" s="19" t="str">
        <f>CONCATENATE("selected(data('",N137,"'),'1') &amp;&amp; ", K135)</f>
        <v>selected(data('q16303_7'),'1') &amp;&amp; selected(data('q16301_7'),'1')</v>
      </c>
      <c r="L139" s="19"/>
      <c r="O139" s="48"/>
      <c r="S139" s="181"/>
    </row>
    <row r="140" spans="2:25" s="31" customFormat="1" ht="90">
      <c r="H140" s="216"/>
      <c r="J140" s="433"/>
      <c r="K140" s="19"/>
      <c r="L140" s="19" t="s">
        <v>19</v>
      </c>
      <c r="N140" s="31" t="str">
        <f>CONCATENATE("q",$I$9, "_", A$20)</f>
        <v>q16304_7</v>
      </c>
      <c r="O140" s="312" t="str">
        <f>CONCATENATE(N140, ". ", SUBSTITUTE($E$9, "[item]",$E$20))</f>
        <v>q16304_7. ما نصيب الأسرة من طلمبة ميكانيكية؟</v>
      </c>
      <c r="P140" s="117" t="str">
        <f>CONCATENATE(N140, ". ", SUBSTITUTE($B$9, "[item]",$B$20))</f>
        <v>q16304_7. What share of these mechanical water pump belong to your household?</v>
      </c>
      <c r="Q140" s="31" t="str">
        <f>$G$9</f>
        <v>سجل النسبة من 0-100. إذا كانت النسبة تختلف من سلعة لأخرى، سجل متوسط نصيب الاسرة.</v>
      </c>
      <c r="R140" s="31" t="str">
        <f>$D$9</f>
        <v>Answer as a percentage (0-100). *If share differs over items, record average share.</v>
      </c>
      <c r="S140" s="181" t="str">
        <f>CONCATENATE(,K139, " &amp;&amp; ",  S134)</f>
        <v>selected(data('q16303_7'),'1') &amp;&amp; selected(data('q16301_7'),'1') &amp;&amp; data('valid_overall') == 1</v>
      </c>
      <c r="V140" s="63" t="str">
        <f>CONCATENATE("(data('",N140,"') &gt;= 0 &amp;&amp; data('",N140,"') &lt;= 100)")</f>
        <v>(data('q16304_7') &gt;= 0 &amp;&amp; data('q16304_7') &lt;= 100)</v>
      </c>
      <c r="W140" s="16" t="s">
        <v>1051</v>
      </c>
      <c r="X140" s="63" t="s">
        <v>441</v>
      </c>
      <c r="Y140" s="31" t="b">
        <v>1</v>
      </c>
    </row>
    <row r="141" spans="2:25" s="31" customFormat="1">
      <c r="H141" s="216"/>
      <c r="J141" s="88" t="s">
        <v>42</v>
      </c>
      <c r="K141" s="19"/>
      <c r="L141" s="19"/>
      <c r="O141" s="48"/>
      <c r="S141" s="181"/>
    </row>
    <row r="142" spans="2:25" s="31" customFormat="1">
      <c r="H142" s="216"/>
      <c r="J142" s="88" t="s">
        <v>51</v>
      </c>
      <c r="K142" s="19" t="str">
        <f>CONCATENATE("selected(data('",N134,"'),'1')")</f>
        <v>selected(data('q16301_7'),'1')</v>
      </c>
      <c r="L142" s="19"/>
      <c r="O142" s="48"/>
      <c r="S142" s="181"/>
    </row>
    <row r="143" spans="2:25" s="31" customFormat="1" ht="45">
      <c r="H143" s="216"/>
      <c r="J143" s="88"/>
      <c r="K143" s="19"/>
      <c r="L143" s="19" t="s">
        <v>18</v>
      </c>
      <c r="M143" s="31" t="s">
        <v>17</v>
      </c>
      <c r="N143" s="31" t="str">
        <f>CONCATENATE("q",$I$10, "_", A$20)</f>
        <v>q16305_7</v>
      </c>
      <c r="O143" s="312" t="str">
        <f>CONCATENATE(N143, ". ", SUBSTITUTE($E$10, "[item]",$E$20))</f>
        <v>q16305_7. هل استؤجر طلمبة ميكانيكية خلال الـ12 شهر الماضية؟</v>
      </c>
      <c r="P143" s="117" t="str">
        <f>CONCATENATE(N143, ". ", SUBSTITUTE($B$10, "[item]",$B$20))</f>
        <v>q16305_7. Was the mechanical water pump rented out in the last 12 months?</v>
      </c>
      <c r="S143" s="181" t="str">
        <f>CONCATENATE(K135, " &amp;&amp; ", S134)</f>
        <v>selected(data('q16301_7'),'1') &amp;&amp; data('valid_overall') == 1</v>
      </c>
      <c r="Y143" s="31" t="b">
        <v>1</v>
      </c>
    </row>
    <row r="144" spans="2:25" s="31" customFormat="1">
      <c r="H144" s="216"/>
      <c r="J144" s="88" t="s">
        <v>42</v>
      </c>
      <c r="K144" s="19"/>
      <c r="L144" s="19"/>
      <c r="O144" s="312"/>
      <c r="P144" s="117"/>
      <c r="S144" s="181"/>
    </row>
    <row r="145" spans="2:25" s="31" customFormat="1">
      <c r="H145" s="216"/>
      <c r="J145" s="88" t="s">
        <v>23</v>
      </c>
      <c r="K145" s="19" t="str">
        <f>CONCATENATE("selected(data('",N143,"'),'1')&amp;&amp; ",K135)</f>
        <v>selected(data('q16305_7'),'1')&amp;&amp; selected(data('q16301_7'),'1')</v>
      </c>
      <c r="L145" s="19"/>
      <c r="O145" s="48"/>
      <c r="S145" s="181"/>
    </row>
    <row r="146" spans="2:25" s="31" customFormat="1" ht="75">
      <c r="H146" s="216"/>
      <c r="J146" s="92"/>
      <c r="K146" s="19"/>
      <c r="L146" s="19" t="s">
        <v>19</v>
      </c>
      <c r="N146" s="31" t="str">
        <f>CONCATENATE("q",$I$11, "_", A$20)</f>
        <v>q16306_7</v>
      </c>
      <c r="O146" s="312" t="str">
        <f>CONCATENATE(N146, ". ", SUBSTITUTE($E$11, "[item]",$E$20))</f>
        <v>q16306_7. كم كانت قيمة الإيجار (بالجنيه)؟</v>
      </c>
      <c r="P146" s="117" t="str">
        <f>CONCATENATE(N146, ". ", SUBSTITUTE($B$11, "[item]",$B$20))</f>
        <v>q16306_7. What was the value of the rental? (in pounds)</v>
      </c>
      <c r="Q146" s="31" t="str">
        <f>$F$11</f>
        <v>*في حالة لا أعرف سجل  999998</v>
      </c>
      <c r="R146" s="31" t="str">
        <f>$C$11</f>
        <v>*If don't know, write 999998</v>
      </c>
      <c r="S146" s="181" t="str">
        <f>CONCATENATE(K145, " &amp;&amp; ", S134)</f>
        <v>selected(data('q16305_7'),'1')&amp;&amp; selected(data('q16301_7'),'1') &amp;&amp; data('valid_overall') == 1</v>
      </c>
      <c r="Y146" s="31" t="b">
        <v>1</v>
      </c>
    </row>
    <row r="147" spans="2:25" s="31" customFormat="1">
      <c r="H147" s="216"/>
      <c r="J147" s="88" t="s">
        <v>42</v>
      </c>
      <c r="K147" s="19"/>
      <c r="L147" s="19"/>
      <c r="O147" s="48"/>
      <c r="S147" s="181"/>
    </row>
    <row r="148" spans="2:25" s="31" customFormat="1">
      <c r="H148" s="216"/>
      <c r="J148" s="405" t="s">
        <v>21</v>
      </c>
      <c r="K148" s="19"/>
      <c r="L148" s="19"/>
      <c r="O148" s="407"/>
      <c r="S148" s="181"/>
    </row>
    <row r="149" spans="2:25" s="31" customFormat="1">
      <c r="H149" s="216"/>
      <c r="J149" s="405" t="s">
        <v>20</v>
      </c>
      <c r="K149" s="19"/>
      <c r="L149" s="19"/>
      <c r="O149" s="407"/>
      <c r="S149" s="181"/>
    </row>
    <row r="150" spans="2:25" s="117" customFormat="1" ht="75.75" customHeight="1">
      <c r="B150" s="168"/>
      <c r="C150" s="168"/>
      <c r="E150" s="168"/>
      <c r="F150" s="168"/>
      <c r="G150" s="168"/>
      <c r="H150" s="191"/>
      <c r="I150" s="168"/>
      <c r="J150" s="178"/>
      <c r="K150" s="54"/>
      <c r="L150" s="19" t="s">
        <v>18</v>
      </c>
      <c r="M150" s="31" t="s">
        <v>17</v>
      </c>
      <c r="N150" s="117" t="str">
        <f>CONCATENATE("q",$I$6, "_", A$21)</f>
        <v>q16301_8</v>
      </c>
      <c r="O150" s="312" t="str">
        <f>CONCATENATE(N150, ". ", SUBSTITUTE($E$6, "[item]",$E$21))</f>
        <v>q16301_8. هل تمتلك الأسرة أي ممتلكات من طلمبة يدوية؟</v>
      </c>
      <c r="P150" s="117" t="str">
        <f>CONCATENATE(N150, ". ", SUBSTITUTE($B$6, "[item]",$B$21))</f>
        <v xml:space="preserve">q16301_8. Does your household own any manually powered water pump? (Entirely or with sharing)   </v>
      </c>
      <c r="S150" s="117" t="s">
        <v>587</v>
      </c>
    </row>
    <row r="151" spans="2:25" s="31" customFormat="1">
      <c r="B151" s="161"/>
      <c r="C151" s="161"/>
      <c r="E151" s="161"/>
      <c r="F151" s="161"/>
      <c r="G151" s="161"/>
      <c r="H151" s="216"/>
      <c r="I151" s="161"/>
      <c r="J151" s="88" t="s">
        <v>51</v>
      </c>
      <c r="K151" s="19" t="str">
        <f>CONCATENATE("selected(data('",N150,"'),'1')")</f>
        <v>selected(data('q16301_8'),'1')</v>
      </c>
      <c r="L151" s="19"/>
      <c r="O151" s="312"/>
      <c r="P151" s="117"/>
      <c r="S151" s="181"/>
    </row>
    <row r="152" spans="2:25" s="31" customFormat="1" ht="45">
      <c r="H152" s="216"/>
      <c r="J152" s="92"/>
      <c r="K152" s="19"/>
      <c r="L152" s="19" t="s">
        <v>19</v>
      </c>
      <c r="N152" s="31" t="str">
        <f>CONCATENATE("q",$I$7, "_", A$21)</f>
        <v>q16302_8</v>
      </c>
      <c r="O152" s="312" t="str">
        <f>CONCATENATE(N152, ". ", SUBSTITUTE($E$7, "[item]",$E$21))</f>
        <v>q16302_8. كم طلمبة يدوية تمتلك الأسرة؟</v>
      </c>
      <c r="P152" s="117" t="str">
        <f>CONCATENATE(N152, ". ", SUBSTITUTE($B$7, "[item]",$B$21))</f>
        <v>q16302_8. How many manually powered water pump does your household own?</v>
      </c>
      <c r="Q152" s="2"/>
      <c r="R152" s="2"/>
      <c r="S152" s="181" t="str">
        <f>CONCATENATE(K151, " &amp;&amp; ", S150)</f>
        <v>selected(data('q16301_8'),'1') &amp;&amp; data('valid_overall') == 1</v>
      </c>
      <c r="T152" s="2"/>
      <c r="U152"/>
      <c r="V152"/>
      <c r="W152"/>
      <c r="X152"/>
      <c r="Y152" s="31" t="b">
        <v>1</v>
      </c>
    </row>
    <row r="153" spans="2:25" s="31" customFormat="1" ht="60">
      <c r="H153" s="216"/>
      <c r="J153" s="92"/>
      <c r="K153" s="19"/>
      <c r="L153" s="19" t="s">
        <v>18</v>
      </c>
      <c r="M153" s="31" t="s">
        <v>17</v>
      </c>
      <c r="N153" s="31" t="str">
        <f>CONCATENATE("q",$I$8, "_", A$21)</f>
        <v>q16303_8</v>
      </c>
      <c r="O153" s="312" t="str">
        <f>CONCATENATE(N153, ". ", SUBSTITUTE($E$8, "[item]",$E$21))</f>
        <v>q16303_8. هل تمتلك الأسرة طلمبة يدوية مشاركة مع أسر أخرى؟</v>
      </c>
      <c r="P153" s="117" t="str">
        <f>CONCATENATE(N153, ". ", SUBSTITUTE($B$8, "[item]",$B$21))</f>
        <v>q16303_8. Does your household own any manually powered water pump jointly with any other household?</v>
      </c>
      <c r="S153" s="181" t="str">
        <f>CONCATENATE(K151, " &amp;&amp; ", S150)</f>
        <v>selected(data('q16301_8'),'1') &amp;&amp; data('valid_overall') == 1</v>
      </c>
      <c r="Y153" s="31" t="b">
        <v>1</v>
      </c>
    </row>
    <row r="154" spans="2:25" s="31" customFormat="1">
      <c r="H154" s="216"/>
      <c r="J154" s="139" t="s">
        <v>42</v>
      </c>
      <c r="K154" s="18"/>
      <c r="L154" s="19"/>
      <c r="O154" s="312"/>
      <c r="P154" s="117"/>
      <c r="S154" s="9"/>
    </row>
    <row r="155" spans="2:25" s="31" customFormat="1">
      <c r="H155" s="216"/>
      <c r="J155" s="88" t="s">
        <v>51</v>
      </c>
      <c r="K155" s="19" t="str">
        <f>CONCATENATE("selected(data('",N153,"'),'1') &amp;&amp; ", K151)</f>
        <v>selected(data('q16303_8'),'1') &amp;&amp; selected(data('q16301_8'),'1')</v>
      </c>
      <c r="L155" s="19"/>
      <c r="O155" s="48"/>
      <c r="S155" s="181"/>
    </row>
    <row r="156" spans="2:25" s="31" customFormat="1" ht="90">
      <c r="H156" s="216"/>
      <c r="J156" s="433"/>
      <c r="K156" s="19"/>
      <c r="L156" s="19" t="s">
        <v>19</v>
      </c>
      <c r="N156" s="31" t="str">
        <f>CONCATENATE("q",$I$9, "_", A$21)</f>
        <v>q16304_8</v>
      </c>
      <c r="O156" s="312" t="str">
        <f>CONCATENATE(N156, ". ", SUBSTITUTE($E$9, "[item]",$E$21))</f>
        <v>q16304_8. ما نصيب الأسرة من طلمبة يدوية؟</v>
      </c>
      <c r="P156" s="117" t="str">
        <f>CONCATENATE(N156, ". ", SUBSTITUTE($B$9, "[item]",$B$21))</f>
        <v>q16304_8. What share of these manually powered water pump belong to your household?</v>
      </c>
      <c r="Q156" s="31" t="str">
        <f>$G$9</f>
        <v>سجل النسبة من 0-100. إذا كانت النسبة تختلف من سلعة لأخرى، سجل متوسط نصيب الاسرة.</v>
      </c>
      <c r="R156" s="31" t="str">
        <f>$D$9</f>
        <v>Answer as a percentage (0-100). *If share differs over items, record average share.</v>
      </c>
      <c r="S156" s="181" t="str">
        <f>CONCATENATE(,K155, " &amp;&amp; ",  S150)</f>
        <v>selected(data('q16303_8'),'1') &amp;&amp; selected(data('q16301_8'),'1') &amp;&amp; data('valid_overall') == 1</v>
      </c>
      <c r="V156" s="63" t="str">
        <f>CONCATENATE("(data('",N156,"') &gt;= 0 &amp;&amp; data('",N156,"') &lt;= 100)")</f>
        <v>(data('q16304_8') &gt;= 0 &amp;&amp; data('q16304_8') &lt;= 100)</v>
      </c>
      <c r="W156" s="16" t="s">
        <v>1051</v>
      </c>
      <c r="X156" s="63" t="s">
        <v>441</v>
      </c>
      <c r="Y156" s="31" t="b">
        <v>1</v>
      </c>
    </row>
    <row r="157" spans="2:25" s="31" customFormat="1">
      <c r="H157" s="216"/>
      <c r="J157" s="88" t="s">
        <v>42</v>
      </c>
      <c r="K157" s="19"/>
      <c r="L157" s="19"/>
      <c r="O157" s="48"/>
      <c r="S157" s="181"/>
    </row>
    <row r="158" spans="2:25" s="31" customFormat="1">
      <c r="H158" s="216"/>
      <c r="J158" s="88" t="s">
        <v>51</v>
      </c>
      <c r="K158" s="19" t="str">
        <f>CONCATENATE("selected(data('",N150,"'),'1')")</f>
        <v>selected(data('q16301_8'),'1')</v>
      </c>
      <c r="L158" s="19"/>
      <c r="O158" s="48"/>
      <c r="S158" s="181"/>
    </row>
    <row r="159" spans="2:25" s="31" customFormat="1" ht="45">
      <c r="H159" s="216"/>
      <c r="J159" s="88"/>
      <c r="K159" s="19"/>
      <c r="L159" s="19" t="s">
        <v>18</v>
      </c>
      <c r="M159" s="31" t="s">
        <v>17</v>
      </c>
      <c r="N159" s="31" t="str">
        <f>CONCATENATE("q",$I$10, "_", A$21)</f>
        <v>q16305_8</v>
      </c>
      <c r="O159" s="312" t="str">
        <f>CONCATENATE(N159, ". ", SUBSTITUTE($E$10, "[item]",$E$21))</f>
        <v>q16305_8. هل استؤجر طلمبة يدوية خلال الـ12 شهر الماضية؟</v>
      </c>
      <c r="P159" s="117" t="str">
        <f>CONCATENATE(N159, ". ", SUBSTITUTE($B$10, "[item]",$B$21))</f>
        <v>q16305_8. Was the manually powered water pump rented out in the last 12 months?</v>
      </c>
      <c r="S159" s="181" t="str">
        <f>CONCATENATE(K151, " &amp;&amp; ", S150)</f>
        <v>selected(data('q16301_8'),'1') &amp;&amp; data('valid_overall') == 1</v>
      </c>
      <c r="Y159" s="31" t="b">
        <v>1</v>
      </c>
    </row>
    <row r="160" spans="2:25" s="31" customFormat="1">
      <c r="H160" s="216"/>
      <c r="J160" s="88" t="s">
        <v>42</v>
      </c>
      <c r="K160" s="19"/>
      <c r="L160" s="19"/>
      <c r="O160" s="312"/>
      <c r="P160" s="117"/>
      <c r="S160" s="181"/>
    </row>
    <row r="161" spans="2:25" s="31" customFormat="1">
      <c r="H161" s="216"/>
      <c r="J161" s="88" t="s">
        <v>23</v>
      </c>
      <c r="K161" s="19" t="str">
        <f>CONCATENATE("selected(data('",N159,"'),'1')&amp;&amp; ",K151)</f>
        <v>selected(data('q16305_8'),'1')&amp;&amp; selected(data('q16301_8'),'1')</v>
      </c>
      <c r="L161" s="19"/>
      <c r="O161" s="48"/>
      <c r="S161" s="181"/>
    </row>
    <row r="162" spans="2:25" s="31" customFormat="1" ht="75">
      <c r="H162" s="216"/>
      <c r="J162" s="92"/>
      <c r="K162" s="19"/>
      <c r="L162" s="19" t="s">
        <v>19</v>
      </c>
      <c r="N162" s="31" t="str">
        <f>CONCATENATE("q",$I$11, "_", A$21)</f>
        <v>q16306_8</v>
      </c>
      <c r="O162" s="312" t="str">
        <f>CONCATENATE(N162, ". ", SUBSTITUTE($E$11, "[item]",$E$21))</f>
        <v>q16306_8. كم كانت قيمة الإيجار (بالجنيه)؟</v>
      </c>
      <c r="P162" s="117" t="str">
        <f>CONCATENATE(N162, ". ", SUBSTITUTE($B$11, "[item]",$B$21))</f>
        <v>q16306_8. What was the value of the rental? (in pounds)</v>
      </c>
      <c r="Q162" s="31" t="str">
        <f>$F$11</f>
        <v>*في حالة لا أعرف سجل  999998</v>
      </c>
      <c r="R162" s="31" t="str">
        <f>$C$11</f>
        <v>*If don't know, write 999998</v>
      </c>
      <c r="S162" s="181" t="str">
        <f>CONCATENATE(K161, " &amp;&amp; ", S150)</f>
        <v>selected(data('q16305_8'),'1')&amp;&amp; selected(data('q16301_8'),'1') &amp;&amp; data('valid_overall') == 1</v>
      </c>
      <c r="Y162" s="31" t="b">
        <v>1</v>
      </c>
    </row>
    <row r="163" spans="2:25" s="31" customFormat="1">
      <c r="H163" s="216"/>
      <c r="J163" s="88" t="s">
        <v>42</v>
      </c>
      <c r="K163" s="19"/>
      <c r="L163" s="19"/>
      <c r="O163" s="48"/>
      <c r="S163" s="181"/>
    </row>
    <row r="164" spans="2:25" s="31" customFormat="1">
      <c r="H164" s="216"/>
      <c r="J164" s="405" t="s">
        <v>21</v>
      </c>
      <c r="K164" s="19"/>
      <c r="L164" s="19"/>
      <c r="O164" s="407"/>
      <c r="S164" s="181"/>
    </row>
    <row r="165" spans="2:25" s="31" customFormat="1">
      <c r="H165" s="216"/>
      <c r="J165" s="405" t="s">
        <v>20</v>
      </c>
      <c r="K165" s="19"/>
      <c r="L165" s="19"/>
      <c r="O165" s="407"/>
      <c r="S165" s="181"/>
    </row>
    <row r="166" spans="2:25" s="117" customFormat="1" ht="45">
      <c r="B166" s="168"/>
      <c r="C166" s="168"/>
      <c r="E166" s="168"/>
      <c r="F166" s="168"/>
      <c r="G166" s="168"/>
      <c r="H166" s="191"/>
      <c r="I166" s="168"/>
      <c r="J166" s="178"/>
      <c r="K166" s="54"/>
      <c r="L166" s="19" t="s">
        <v>18</v>
      </c>
      <c r="M166" s="31" t="s">
        <v>17</v>
      </c>
      <c r="N166" s="117" t="str">
        <f>CONCATENATE("q",$I$6, "_", A$22)</f>
        <v>q16301_9</v>
      </c>
      <c r="O166" s="312" t="str">
        <f>CONCATENATE(N166, ". ", SUBSTITUTE($E$6, "[item]",$E$22))</f>
        <v>q16301_9. هل تمتلك الأسرة أي ممتلكات من دراسة آلية ؟</v>
      </c>
      <c r="P166" s="117" t="str">
        <f>CONCATENATE(N166, ". ", SUBSTITUTE($B$6, "[item]",$B$22))</f>
        <v xml:space="preserve">q16301_9. Does your household own any motorized thresher? (Entirely or with sharing)   </v>
      </c>
      <c r="S166" s="117" t="s">
        <v>587</v>
      </c>
    </row>
    <row r="167" spans="2:25" s="31" customFormat="1">
      <c r="B167" s="161"/>
      <c r="C167" s="161"/>
      <c r="E167" s="161"/>
      <c r="F167" s="161"/>
      <c r="G167" s="161"/>
      <c r="H167" s="216"/>
      <c r="I167" s="161"/>
      <c r="J167" s="88" t="s">
        <v>51</v>
      </c>
      <c r="K167" s="19" t="str">
        <f>CONCATENATE("selected(data('",N166,"'),'1')")</f>
        <v>selected(data('q16301_9'),'1')</v>
      </c>
      <c r="L167" s="19"/>
      <c r="O167" s="312"/>
      <c r="P167" s="117"/>
      <c r="S167" s="181"/>
    </row>
    <row r="168" spans="2:25" s="31" customFormat="1" ht="45">
      <c r="H168" s="216"/>
      <c r="J168" s="92"/>
      <c r="K168" s="19"/>
      <c r="L168" s="19" t="s">
        <v>19</v>
      </c>
      <c r="N168" s="31" t="str">
        <f>CONCATENATE("q",$I$7, "_", A$22)</f>
        <v>q16302_9</v>
      </c>
      <c r="O168" s="312" t="str">
        <f>CONCATENATE(N168, ". ", SUBSTITUTE($E$7, "[item]",$E$22))</f>
        <v>q16302_9. كم دراسة آلية  تمتلك الأسرة؟</v>
      </c>
      <c r="P168" s="117" t="str">
        <f>CONCATENATE(N168, ". ", SUBSTITUTE($B$7, "[item]",$B$22))</f>
        <v>q16302_9. How many motorized thresher does your household own?</v>
      </c>
      <c r="Q168" s="2"/>
      <c r="R168" s="2"/>
      <c r="S168" s="181" t="str">
        <f>CONCATENATE(K167, " &amp;&amp; ", S166)</f>
        <v>selected(data('q16301_9'),'1') &amp;&amp; data('valid_overall') == 1</v>
      </c>
      <c r="T168" s="2"/>
      <c r="U168"/>
      <c r="V168"/>
      <c r="W168"/>
      <c r="X168"/>
      <c r="Y168" s="31" t="b">
        <v>1</v>
      </c>
    </row>
    <row r="169" spans="2:25" s="31" customFormat="1" ht="45">
      <c r="H169" s="216"/>
      <c r="J169" s="92"/>
      <c r="K169" s="19"/>
      <c r="L169" s="19" t="s">
        <v>18</v>
      </c>
      <c r="M169" s="31" t="s">
        <v>17</v>
      </c>
      <c r="N169" s="31" t="str">
        <f>CONCATENATE("q",$I$8, "_", A$22)</f>
        <v>q16303_9</v>
      </c>
      <c r="O169" s="312" t="str">
        <f>CONCATENATE(N169, ". ", SUBSTITUTE($E$8, "[item]",$E$22))</f>
        <v>q16303_9. هل تمتلك الأسرة دراسة آلية  مشاركة مع أسر أخرى؟</v>
      </c>
      <c r="P169" s="117" t="str">
        <f>CONCATENATE(N169, ". ", SUBSTITUTE($B$8, "[item]",$B$22))</f>
        <v>q16303_9. Does your household own any motorized thresher jointly with any other household?</v>
      </c>
      <c r="S169" s="181" t="str">
        <f>CONCATENATE(K167, " &amp;&amp; ", S166)</f>
        <v>selected(data('q16301_9'),'1') &amp;&amp; data('valid_overall') == 1</v>
      </c>
      <c r="Y169" s="31" t="b">
        <v>1</v>
      </c>
    </row>
    <row r="170" spans="2:25" s="31" customFormat="1">
      <c r="H170" s="216"/>
      <c r="J170" s="139" t="s">
        <v>42</v>
      </c>
      <c r="K170" s="18"/>
      <c r="L170" s="19"/>
      <c r="O170" s="312"/>
      <c r="P170" s="117"/>
      <c r="S170" s="9"/>
    </row>
    <row r="171" spans="2:25" s="31" customFormat="1">
      <c r="H171" s="216"/>
      <c r="J171" s="88" t="s">
        <v>51</v>
      </c>
      <c r="K171" s="19" t="str">
        <f>CONCATENATE("selected(data('",N169,"'),'1') &amp;&amp; ", K167)</f>
        <v>selected(data('q16303_9'),'1') &amp;&amp; selected(data('q16301_9'),'1')</v>
      </c>
      <c r="L171" s="19"/>
      <c r="O171" s="48"/>
      <c r="S171" s="181"/>
    </row>
    <row r="172" spans="2:25" s="31" customFormat="1" ht="90">
      <c r="H172" s="216"/>
      <c r="J172" s="433"/>
      <c r="K172" s="19"/>
      <c r="L172" s="19" t="s">
        <v>19</v>
      </c>
      <c r="N172" s="31" t="str">
        <f>CONCATENATE("q",$I$9, "_", A$22)</f>
        <v>q16304_9</v>
      </c>
      <c r="O172" s="312" t="str">
        <f>CONCATENATE(N172, ". ", SUBSTITUTE($E$9, "[item]",$E$22))</f>
        <v>q16304_9. ما نصيب الأسرة من دراسة آلية ؟</v>
      </c>
      <c r="P172" s="117" t="str">
        <f>CONCATENATE(N172, ". ", SUBSTITUTE($B$9, "[item]",$B$22))</f>
        <v>q16304_9. What share of these motorized thresher belong to your household?</v>
      </c>
      <c r="Q172" s="31" t="str">
        <f>$G$9</f>
        <v>سجل النسبة من 0-100. إذا كانت النسبة تختلف من سلعة لأخرى، سجل متوسط نصيب الاسرة.</v>
      </c>
      <c r="R172" s="31" t="str">
        <f>$D$9</f>
        <v>Answer as a percentage (0-100). *If share differs over items, record average share.</v>
      </c>
      <c r="S172" s="181" t="str">
        <f>CONCATENATE(,K171, " &amp;&amp; ",  S166)</f>
        <v>selected(data('q16303_9'),'1') &amp;&amp; selected(data('q16301_9'),'1') &amp;&amp; data('valid_overall') == 1</v>
      </c>
      <c r="V172" s="63" t="str">
        <f>CONCATENATE("(data('",N172,"') &gt;= 0 &amp;&amp; data('",N172,"') &lt;= 100)")</f>
        <v>(data('q16304_9') &gt;= 0 &amp;&amp; data('q16304_9') &lt;= 100)</v>
      </c>
      <c r="W172" s="16" t="s">
        <v>1051</v>
      </c>
      <c r="X172" s="63" t="s">
        <v>441</v>
      </c>
      <c r="Y172" s="31" t="b">
        <v>1</v>
      </c>
    </row>
    <row r="173" spans="2:25" s="31" customFormat="1">
      <c r="H173" s="216"/>
      <c r="J173" s="88" t="s">
        <v>42</v>
      </c>
      <c r="K173" s="19"/>
      <c r="L173" s="19"/>
      <c r="O173" s="48"/>
      <c r="S173" s="181"/>
    </row>
    <row r="174" spans="2:25" s="31" customFormat="1">
      <c r="H174" s="216"/>
      <c r="J174" s="88" t="s">
        <v>51</v>
      </c>
      <c r="K174" s="19" t="str">
        <f>CONCATENATE("selected(data('",N166,"'),'1')")</f>
        <v>selected(data('q16301_9'),'1')</v>
      </c>
      <c r="L174" s="19"/>
      <c r="O174" s="48"/>
      <c r="S174" s="181"/>
    </row>
    <row r="175" spans="2:25" s="31" customFormat="1" ht="45">
      <c r="H175" s="216"/>
      <c r="J175" s="88"/>
      <c r="K175" s="19"/>
      <c r="L175" s="19" t="s">
        <v>18</v>
      </c>
      <c r="M175" s="31" t="s">
        <v>17</v>
      </c>
      <c r="N175" s="31" t="str">
        <f>CONCATENATE("q",$I$10, "_", A$22)</f>
        <v>q16305_9</v>
      </c>
      <c r="O175" s="312" t="str">
        <f>CONCATENATE(N175, ". ", SUBSTITUTE($E$10, "[item]",$E$22))</f>
        <v>q16305_9. هل استؤجر دراسة آلية  خلال الـ12 شهر الماضية؟</v>
      </c>
      <c r="P175" s="117" t="str">
        <f>CONCATENATE(N175, ". ", SUBSTITUTE($B$10, "[item]",$B$22))</f>
        <v>q16305_9. Was the motorized thresher rented out in the last 12 months?</v>
      </c>
      <c r="S175" s="181" t="str">
        <f>CONCATENATE(K167, " &amp;&amp; ", S166)</f>
        <v>selected(data('q16301_9'),'1') &amp;&amp; data('valid_overall') == 1</v>
      </c>
      <c r="Y175" s="31" t="b">
        <v>1</v>
      </c>
    </row>
    <row r="176" spans="2:25" s="31" customFormat="1">
      <c r="H176" s="216"/>
      <c r="J176" s="88" t="s">
        <v>42</v>
      </c>
      <c r="K176" s="19"/>
      <c r="L176" s="19"/>
      <c r="O176" s="312"/>
      <c r="P176" s="117"/>
      <c r="S176" s="181"/>
    </row>
    <row r="177" spans="2:25" s="31" customFormat="1">
      <c r="H177" s="216"/>
      <c r="J177" s="88" t="s">
        <v>23</v>
      </c>
      <c r="K177" s="19" t="str">
        <f>CONCATENATE("selected(data('",N175,"'),'1')&amp;&amp; ",K167)</f>
        <v>selected(data('q16305_9'),'1')&amp;&amp; selected(data('q16301_9'),'1')</v>
      </c>
      <c r="L177" s="19"/>
      <c r="O177" s="48"/>
      <c r="S177" s="181"/>
    </row>
    <row r="178" spans="2:25" s="31" customFormat="1" ht="75">
      <c r="H178" s="216"/>
      <c r="J178" s="92"/>
      <c r="K178" s="19"/>
      <c r="L178" s="19" t="s">
        <v>19</v>
      </c>
      <c r="N178" s="31" t="str">
        <f>CONCATENATE("q",$I$11, "_", A$22)</f>
        <v>q16306_9</v>
      </c>
      <c r="O178" s="312" t="str">
        <f>CONCATENATE(N178, ". ", SUBSTITUTE($E$11, "[item]",$E$22))</f>
        <v>q16306_9. كم كانت قيمة الإيجار (بالجنيه)؟</v>
      </c>
      <c r="P178" s="117" t="str">
        <f>CONCATENATE(N178, ". ", SUBSTITUTE($B$11, "[item]",$B$22))</f>
        <v>q16306_9. What was the value of the rental? (in pounds)</v>
      </c>
      <c r="Q178" s="31" t="str">
        <f>$F$11</f>
        <v>*في حالة لا أعرف سجل  999998</v>
      </c>
      <c r="R178" s="31" t="str">
        <f>$C$11</f>
        <v>*If don't know, write 999998</v>
      </c>
      <c r="S178" s="181" t="str">
        <f>CONCATENATE(K177, " &amp;&amp; ", S166)</f>
        <v>selected(data('q16305_9'),'1')&amp;&amp; selected(data('q16301_9'),'1') &amp;&amp; data('valid_overall') == 1</v>
      </c>
      <c r="Y178" s="31" t="b">
        <v>1</v>
      </c>
    </row>
    <row r="179" spans="2:25" s="31" customFormat="1">
      <c r="H179" s="216"/>
      <c r="J179" s="88" t="s">
        <v>42</v>
      </c>
      <c r="K179" s="19"/>
      <c r="L179" s="19"/>
      <c r="O179" s="48"/>
      <c r="S179" s="181"/>
    </row>
    <row r="180" spans="2:25" s="31" customFormat="1">
      <c r="H180" s="216"/>
      <c r="J180" s="434" t="s">
        <v>21</v>
      </c>
      <c r="K180" s="19"/>
      <c r="L180" s="19"/>
      <c r="O180" s="407"/>
      <c r="S180" s="181"/>
    </row>
    <row r="181" spans="2:25" s="31" customFormat="1">
      <c r="H181" s="216"/>
      <c r="J181" s="434" t="s">
        <v>20</v>
      </c>
      <c r="K181" s="19"/>
      <c r="L181" s="19"/>
      <c r="O181" s="407"/>
      <c r="S181" s="181"/>
    </row>
    <row r="182" spans="2:25" s="117" customFormat="1" ht="45">
      <c r="B182" s="168"/>
      <c r="C182" s="168"/>
      <c r="E182" s="168"/>
      <c r="F182" s="168"/>
      <c r="G182" s="168"/>
      <c r="H182" s="191"/>
      <c r="I182" s="168"/>
      <c r="J182" s="178"/>
      <c r="K182" s="54"/>
      <c r="L182" s="19" t="s">
        <v>18</v>
      </c>
      <c r="M182" s="31" t="s">
        <v>17</v>
      </c>
      <c r="N182" s="117" t="str">
        <f>CONCATENATE("q",$I$6, "_", A$23)</f>
        <v>q16301_10</v>
      </c>
      <c r="O182" s="312" t="str">
        <f>CONCATENATE(N182, ". ", SUBSTITUTE($E$6, "[item]",$E$23))</f>
        <v>q16301_10. هل تمتلك الأسرة أي ممتلكات من دراسة يدوية؟</v>
      </c>
      <c r="P182" s="117" t="str">
        <f>CONCATENATE(N182, ". ", SUBSTITUTE($B$6, "[item]",$B$23))</f>
        <v xml:space="preserve">q16301_10. Does your household own any hand thresher? (Entirely or with sharing)   </v>
      </c>
      <c r="S182" s="117" t="s">
        <v>587</v>
      </c>
    </row>
    <row r="183" spans="2:25" s="31" customFormat="1">
      <c r="B183" s="161"/>
      <c r="C183" s="161"/>
      <c r="E183" s="161"/>
      <c r="F183" s="161"/>
      <c r="G183" s="161"/>
      <c r="H183" s="216"/>
      <c r="I183" s="161"/>
      <c r="J183" s="88" t="s">
        <v>51</v>
      </c>
      <c r="K183" s="19" t="str">
        <f>CONCATENATE("selected(data('",N182,"'),'1')")</f>
        <v>selected(data('q16301_10'),'1')</v>
      </c>
      <c r="L183" s="19"/>
      <c r="O183" s="312"/>
      <c r="P183" s="117"/>
      <c r="S183" s="181"/>
    </row>
    <row r="184" spans="2:25" s="31" customFormat="1" ht="45">
      <c r="H184" s="216"/>
      <c r="J184" s="92"/>
      <c r="K184" s="19"/>
      <c r="L184" s="19" t="s">
        <v>19</v>
      </c>
      <c r="N184" s="31" t="str">
        <f>CONCATENATE("q",$I$7, "_", A$23)</f>
        <v>q16302_10</v>
      </c>
      <c r="O184" s="312" t="str">
        <f>CONCATENATE(N184, ". ", SUBSTITUTE($E$7, "[item]",$E$23))</f>
        <v>q16302_10. كم دراسة يدوية تمتلك الأسرة؟</v>
      </c>
      <c r="P184" s="117" t="str">
        <f>CONCATENATE(N184, ". ", SUBSTITUTE($B$7, "[item]",$B$23))</f>
        <v>q16302_10. How many hand thresher does your household own?</v>
      </c>
      <c r="Q184" s="2"/>
      <c r="R184" s="2"/>
      <c r="S184" s="181" t="str">
        <f>CONCATENATE(K183, " &amp;&amp; ", S182)</f>
        <v>selected(data('q16301_10'),'1') &amp;&amp; data('valid_overall') == 1</v>
      </c>
      <c r="T184" s="2"/>
      <c r="U184"/>
      <c r="V184"/>
      <c r="W184"/>
      <c r="X184"/>
      <c r="Y184" s="31" t="b">
        <v>1</v>
      </c>
    </row>
    <row r="185" spans="2:25" s="31" customFormat="1" ht="45">
      <c r="H185" s="216"/>
      <c r="J185" s="92"/>
      <c r="K185" s="19"/>
      <c r="L185" s="19" t="s">
        <v>18</v>
      </c>
      <c r="M185" s="31" t="s">
        <v>17</v>
      </c>
      <c r="N185" s="31" t="str">
        <f>CONCATENATE("q",$I$8, "_", A$23)</f>
        <v>q16303_10</v>
      </c>
      <c r="O185" s="312" t="str">
        <f>CONCATENATE(N185, ". ", SUBSTITUTE($E$8, "[item]",$E$23))</f>
        <v>q16303_10. هل تمتلك الأسرة دراسة يدوية مشاركة مع أسر أخرى؟</v>
      </c>
      <c r="P185" s="117" t="str">
        <f>CONCATENATE(N185, ". ", SUBSTITUTE($B$8, "[item]",$B$23))</f>
        <v>q16303_10. Does your household own any hand thresher jointly with any other household?</v>
      </c>
      <c r="S185" s="181" t="str">
        <f>CONCATENATE(K183, " &amp;&amp; ", S182)</f>
        <v>selected(data('q16301_10'),'1') &amp;&amp; data('valid_overall') == 1</v>
      </c>
      <c r="Y185" s="31" t="b">
        <v>1</v>
      </c>
    </row>
    <row r="186" spans="2:25" s="31" customFormat="1">
      <c r="H186" s="216"/>
      <c r="J186" s="139" t="s">
        <v>42</v>
      </c>
      <c r="K186" s="18"/>
      <c r="L186" s="19"/>
      <c r="O186" s="312"/>
      <c r="P186" s="117"/>
      <c r="S186" s="9"/>
    </row>
    <row r="187" spans="2:25" s="31" customFormat="1">
      <c r="H187" s="216"/>
      <c r="J187" s="88" t="s">
        <v>51</v>
      </c>
      <c r="K187" s="19" t="str">
        <f>CONCATENATE("selected(data('",N185,"'),'1') &amp;&amp; ", K183)</f>
        <v>selected(data('q16303_10'),'1') &amp;&amp; selected(data('q16301_10'),'1')</v>
      </c>
      <c r="L187" s="19"/>
      <c r="O187" s="48"/>
      <c r="S187" s="181"/>
    </row>
    <row r="188" spans="2:25" s="31" customFormat="1" ht="90">
      <c r="H188" s="216"/>
      <c r="J188" s="433"/>
      <c r="K188" s="19"/>
      <c r="L188" s="19" t="s">
        <v>19</v>
      </c>
      <c r="N188" s="31" t="str">
        <f>CONCATENATE("q",$I$9, "_", A$23)</f>
        <v>q16304_10</v>
      </c>
      <c r="O188" s="312" t="str">
        <f>CONCATENATE(N188, ". ", SUBSTITUTE($E$9, "[item]",$E$23))</f>
        <v>q16304_10. ما نصيب الأسرة من دراسة يدوية؟</v>
      </c>
      <c r="P188" s="117" t="str">
        <f>CONCATENATE(N188, ". ", SUBSTITUTE($B$9, "[item]",$B$23))</f>
        <v>q16304_10. What share of these hand thresher belong to your household?</v>
      </c>
      <c r="Q188" s="31" t="str">
        <f>$G$9</f>
        <v>سجل النسبة من 0-100. إذا كانت النسبة تختلف من سلعة لأخرى، سجل متوسط نصيب الاسرة.</v>
      </c>
      <c r="R188" s="31" t="str">
        <f>$D$9</f>
        <v>Answer as a percentage (0-100). *If share differs over items, record average share.</v>
      </c>
      <c r="S188" s="181" t="str">
        <f>CONCATENATE(,K187, " &amp;&amp; ",  S182)</f>
        <v>selected(data('q16303_10'),'1') &amp;&amp; selected(data('q16301_10'),'1') &amp;&amp; data('valid_overall') == 1</v>
      </c>
      <c r="V188" s="63" t="str">
        <f>CONCATENATE("(data('",N188,"') &gt;= 0 &amp;&amp; data('",N188,"') &lt;= 100)")</f>
        <v>(data('q16304_10') &gt;= 0 &amp;&amp; data('q16304_10') &lt;= 100)</v>
      </c>
      <c r="W188" s="16" t="s">
        <v>1051</v>
      </c>
      <c r="X188" s="63" t="s">
        <v>441</v>
      </c>
      <c r="Y188" s="31" t="b">
        <v>1</v>
      </c>
    </row>
    <row r="189" spans="2:25" s="31" customFormat="1">
      <c r="H189" s="216"/>
      <c r="J189" s="88" t="s">
        <v>42</v>
      </c>
      <c r="K189" s="19"/>
      <c r="L189" s="19"/>
      <c r="O189" s="48"/>
      <c r="S189" s="181"/>
    </row>
    <row r="190" spans="2:25" s="31" customFormat="1">
      <c r="H190" s="216"/>
      <c r="J190" s="88" t="s">
        <v>51</v>
      </c>
      <c r="K190" s="19" t="str">
        <f>CONCATENATE("selected(data('",N182,"'),'1')")</f>
        <v>selected(data('q16301_10'),'1')</v>
      </c>
      <c r="L190" s="19"/>
      <c r="O190" s="48"/>
      <c r="S190" s="181"/>
    </row>
    <row r="191" spans="2:25" s="31" customFormat="1" ht="45">
      <c r="H191" s="216"/>
      <c r="J191" s="88"/>
      <c r="K191" s="19"/>
      <c r="L191" s="19" t="s">
        <v>18</v>
      </c>
      <c r="M191" s="31" t="s">
        <v>17</v>
      </c>
      <c r="N191" s="31" t="str">
        <f>CONCATENATE("q",$I$10, "_", A$23)</f>
        <v>q16305_10</v>
      </c>
      <c r="O191" s="312" t="str">
        <f>CONCATENATE(N191, ". ", SUBSTITUTE($E$10, "[item]",$E$23))</f>
        <v>q16305_10. هل استؤجر دراسة يدوية خلال الـ12 شهر الماضية؟</v>
      </c>
      <c r="P191" s="117" t="str">
        <f>CONCATENATE(N191, ". ", SUBSTITUTE($B$10, "[item]",$B$23))</f>
        <v>q16305_10. Was the hand thresher rented out in the last 12 months?</v>
      </c>
      <c r="S191" s="181" t="str">
        <f>CONCATENATE(K183, " &amp;&amp; ", S182)</f>
        <v>selected(data('q16301_10'),'1') &amp;&amp; data('valid_overall') == 1</v>
      </c>
      <c r="Y191" s="31" t="b">
        <v>1</v>
      </c>
    </row>
    <row r="192" spans="2:25" s="31" customFormat="1">
      <c r="H192" s="216"/>
      <c r="J192" s="88" t="s">
        <v>42</v>
      </c>
      <c r="K192" s="19"/>
      <c r="L192" s="19"/>
      <c r="O192" s="312"/>
      <c r="P192" s="117"/>
      <c r="S192" s="181"/>
    </row>
    <row r="193" spans="2:25" s="31" customFormat="1">
      <c r="H193" s="216"/>
      <c r="J193" s="88" t="s">
        <v>23</v>
      </c>
      <c r="K193" s="19" t="str">
        <f>CONCATENATE("selected(data('",N191,"'),'1')&amp;&amp; ",K183)</f>
        <v>selected(data('q16305_10'),'1')&amp;&amp; selected(data('q16301_10'),'1')</v>
      </c>
      <c r="L193" s="19"/>
      <c r="O193" s="48"/>
      <c r="S193" s="181"/>
    </row>
    <row r="194" spans="2:25" s="31" customFormat="1" ht="75">
      <c r="H194" s="216"/>
      <c r="J194" s="92"/>
      <c r="K194" s="19"/>
      <c r="L194" s="19" t="s">
        <v>19</v>
      </c>
      <c r="N194" s="31" t="str">
        <f>CONCATENATE("q",$I$11, "_", A$23)</f>
        <v>q16306_10</v>
      </c>
      <c r="O194" s="312" t="str">
        <f>CONCATENATE(N194, ". ", SUBSTITUTE($E$11, "[item]",$E$23))</f>
        <v>q16306_10. كم كانت قيمة الإيجار (بالجنيه)؟</v>
      </c>
      <c r="P194" s="117" t="str">
        <f>CONCATENATE(N194, ". ", SUBSTITUTE($B$11, "[item]",$B$23))</f>
        <v>q16306_10. What was the value of the rental? (in pounds)</v>
      </c>
      <c r="Q194" s="31" t="str">
        <f>$F$11</f>
        <v>*في حالة لا أعرف سجل  999998</v>
      </c>
      <c r="R194" s="31" t="str">
        <f>$C$11</f>
        <v>*If don't know, write 999998</v>
      </c>
      <c r="S194" s="181" t="str">
        <f>CONCATENATE(K193, " &amp;&amp; ", S182)</f>
        <v>selected(data('q16305_10'),'1')&amp;&amp; selected(data('q16301_10'),'1') &amp;&amp; data('valid_overall') == 1</v>
      </c>
      <c r="Y194" s="31" t="b">
        <v>1</v>
      </c>
    </row>
    <row r="195" spans="2:25" s="31" customFormat="1">
      <c r="H195" s="216"/>
      <c r="J195" s="88" t="s">
        <v>42</v>
      </c>
      <c r="K195" s="19"/>
      <c r="L195" s="19"/>
      <c r="O195" s="48"/>
      <c r="S195" s="181"/>
    </row>
    <row r="196" spans="2:25" s="31" customFormat="1">
      <c r="H196" s="216"/>
      <c r="J196" s="434" t="s">
        <v>21</v>
      </c>
      <c r="K196" s="19"/>
      <c r="L196" s="19"/>
      <c r="O196" s="407"/>
      <c r="S196" s="181"/>
    </row>
    <row r="197" spans="2:25" s="31" customFormat="1">
      <c r="H197" s="216"/>
      <c r="J197" s="434" t="s">
        <v>20</v>
      </c>
      <c r="K197" s="19"/>
      <c r="L197" s="19"/>
      <c r="O197" s="407"/>
      <c r="S197" s="181"/>
    </row>
    <row r="198" spans="2:25" s="117" customFormat="1" ht="86.25" customHeight="1">
      <c r="B198" s="168"/>
      <c r="C198" s="168"/>
      <c r="E198" s="168"/>
      <c r="F198" s="168"/>
      <c r="G198" s="168"/>
      <c r="H198" s="191"/>
      <c r="I198" s="168"/>
      <c r="J198" s="178"/>
      <c r="K198" s="54"/>
      <c r="L198" s="19" t="s">
        <v>18</v>
      </c>
      <c r="M198" s="31" t="s">
        <v>17</v>
      </c>
      <c r="N198" s="117" t="str">
        <f>CONCATENATE("q",$I$6, "_", A$24)</f>
        <v>q16301_11</v>
      </c>
      <c r="O198" s="312" t="str">
        <f>CONCATENATE(N198, ". ", SUBSTITUTE($E$6, "[item]",$E$24))</f>
        <v>q16301_11. هل تمتلك الأسرة أي ممتلكات من ماكينة صناعة/معالجة علف الماشية؟</v>
      </c>
      <c r="P198" s="117" t="str">
        <f>CONCATENATE(N198, ". ", SUBSTITUTE($B$6, "[item]",$B$24))</f>
        <v xml:space="preserve">q16301_11. Does your household own any machine to process livestock feed? (Entirely or with sharing)   </v>
      </c>
      <c r="S198" s="117" t="s">
        <v>587</v>
      </c>
    </row>
    <row r="199" spans="2:25" s="31" customFormat="1">
      <c r="B199" s="161"/>
      <c r="C199" s="161"/>
      <c r="E199" s="161"/>
      <c r="F199" s="161"/>
      <c r="G199" s="161"/>
      <c r="H199" s="216"/>
      <c r="I199" s="161"/>
      <c r="J199" s="88" t="s">
        <v>51</v>
      </c>
      <c r="K199" s="19" t="str">
        <f>CONCATENATE("selected(data('",N198,"'),'1')")</f>
        <v>selected(data('q16301_11'),'1')</v>
      </c>
      <c r="L199" s="19"/>
      <c r="O199" s="312"/>
      <c r="P199" s="117"/>
      <c r="S199" s="181"/>
    </row>
    <row r="200" spans="2:25" s="31" customFormat="1" ht="45">
      <c r="H200" s="216"/>
      <c r="J200" s="92"/>
      <c r="K200" s="19"/>
      <c r="L200" s="19" t="s">
        <v>19</v>
      </c>
      <c r="N200" s="31" t="str">
        <f>CONCATENATE("q",$I$7, "_", A$24)</f>
        <v>q16302_11</v>
      </c>
      <c r="O200" s="312" t="str">
        <f>CONCATENATE(N200, ". ", SUBSTITUTE($E$7, "[item]",$E$24))</f>
        <v>q16302_11. كم ماكينة صناعة/معالجة علف الماشية تمتلك الأسرة؟</v>
      </c>
      <c r="P200" s="117" t="str">
        <f>CONCATENATE(N200, ". ", SUBSTITUTE($B$7, "[item]",$B$24))</f>
        <v>q16302_11. How many machine to process livestock feed does your household own?</v>
      </c>
      <c r="Q200" s="2"/>
      <c r="R200" s="2"/>
      <c r="S200" s="181" t="str">
        <f>CONCATENATE(K199, " &amp;&amp; ", S198)</f>
        <v>selected(data('q16301_11'),'1') &amp;&amp; data('valid_overall') == 1</v>
      </c>
      <c r="T200" s="2"/>
      <c r="U200"/>
      <c r="V200"/>
      <c r="W200"/>
      <c r="X200"/>
      <c r="Y200" s="31" t="b">
        <v>1</v>
      </c>
    </row>
    <row r="201" spans="2:25" s="31" customFormat="1" ht="60">
      <c r="H201" s="216"/>
      <c r="J201" s="92"/>
      <c r="K201" s="19"/>
      <c r="L201" s="19" t="s">
        <v>18</v>
      </c>
      <c r="M201" s="31" t="s">
        <v>17</v>
      </c>
      <c r="N201" s="31" t="str">
        <f>CONCATENATE("q",$I$8, "_", A$24)</f>
        <v>q16303_11</v>
      </c>
      <c r="O201" s="312" t="str">
        <f>CONCATENATE(N201, ". ", SUBSTITUTE($E$8, "[item]",$E$24))</f>
        <v>q16303_11. هل تمتلك الأسرة ماكينة صناعة/معالجة علف الماشية مشاركة مع أسر أخرى؟</v>
      </c>
      <c r="P201" s="117" t="str">
        <f>CONCATENATE(N201, ". ", SUBSTITUTE($B$8, "[item]",$B$24))</f>
        <v>q16303_11. Does your household own any machine to process livestock feed jointly with any other household?</v>
      </c>
      <c r="S201" s="181" t="str">
        <f>CONCATENATE(K199, " &amp;&amp; ", S198)</f>
        <v>selected(data('q16301_11'),'1') &amp;&amp; data('valid_overall') == 1</v>
      </c>
      <c r="Y201" s="31" t="b">
        <v>1</v>
      </c>
    </row>
    <row r="202" spans="2:25" s="31" customFormat="1">
      <c r="H202" s="216"/>
      <c r="J202" s="139" t="s">
        <v>42</v>
      </c>
      <c r="K202" s="18"/>
      <c r="L202" s="19"/>
      <c r="O202" s="312"/>
      <c r="P202" s="117"/>
      <c r="S202" s="9"/>
    </row>
    <row r="203" spans="2:25" s="31" customFormat="1">
      <c r="H203" s="216"/>
      <c r="J203" s="88" t="s">
        <v>51</v>
      </c>
      <c r="K203" s="19" t="str">
        <f>CONCATENATE("selected(data('",N201,"'),'1') &amp;&amp; ", K199)</f>
        <v>selected(data('q16303_11'),'1') &amp;&amp; selected(data('q16301_11'),'1')</v>
      </c>
      <c r="L203" s="19"/>
      <c r="O203" s="48"/>
      <c r="S203" s="181"/>
    </row>
    <row r="204" spans="2:25" s="31" customFormat="1" ht="90">
      <c r="H204" s="216"/>
      <c r="J204" s="433"/>
      <c r="K204" s="19"/>
      <c r="L204" s="19" t="s">
        <v>19</v>
      </c>
      <c r="N204" s="31" t="str">
        <f>CONCATENATE("q",$I$9, "_", A$24)</f>
        <v>q16304_11</v>
      </c>
      <c r="O204" s="312" t="str">
        <f>CONCATENATE(N204, ". ", SUBSTITUTE($E$9, "[item]",$E$24))</f>
        <v>q16304_11. ما نصيب الأسرة من ماكينة صناعة/معالجة علف الماشية؟</v>
      </c>
      <c r="P204" s="117" t="str">
        <f>CONCATENATE(N204, ". ", SUBSTITUTE($B$9, "[item]",$B$24))</f>
        <v>q16304_11. What share of these machine to process livestock feed belong to your household?</v>
      </c>
      <c r="Q204" s="31" t="str">
        <f>$G$9</f>
        <v>سجل النسبة من 0-100. إذا كانت النسبة تختلف من سلعة لأخرى، سجل متوسط نصيب الاسرة.</v>
      </c>
      <c r="R204" s="31" t="str">
        <f>$D$9</f>
        <v>Answer as a percentage (0-100). *If share differs over items, record average share.</v>
      </c>
      <c r="S204" s="181" t="str">
        <f>CONCATENATE(,K203, " &amp;&amp; ",  S198)</f>
        <v>selected(data('q16303_11'),'1') &amp;&amp; selected(data('q16301_11'),'1') &amp;&amp; data('valid_overall') == 1</v>
      </c>
      <c r="V204" s="63" t="str">
        <f>CONCATENATE("(data('",N204,"') &gt;= 0 &amp;&amp; data('",N204,"') &lt;= 100)")</f>
        <v>(data('q16304_11') &gt;= 0 &amp;&amp; data('q16304_11') &lt;= 100)</v>
      </c>
      <c r="W204" s="16" t="s">
        <v>1051</v>
      </c>
      <c r="X204" s="63" t="s">
        <v>441</v>
      </c>
      <c r="Y204" s="31" t="b">
        <v>1</v>
      </c>
    </row>
    <row r="205" spans="2:25" s="31" customFormat="1">
      <c r="H205" s="216"/>
      <c r="J205" s="88" t="s">
        <v>42</v>
      </c>
      <c r="K205" s="19"/>
      <c r="L205" s="19"/>
      <c r="O205" s="48"/>
      <c r="S205" s="181"/>
    </row>
    <row r="206" spans="2:25" s="31" customFormat="1">
      <c r="H206" s="216"/>
      <c r="J206" s="88" t="s">
        <v>51</v>
      </c>
      <c r="K206" s="19" t="str">
        <f>CONCATENATE("selected(data('",N198,"'),'1')")</f>
        <v>selected(data('q16301_11'),'1')</v>
      </c>
      <c r="L206" s="19"/>
      <c r="O206" s="48"/>
      <c r="S206" s="181"/>
    </row>
    <row r="207" spans="2:25" s="31" customFormat="1" ht="45">
      <c r="H207" s="216"/>
      <c r="J207" s="88"/>
      <c r="K207" s="19"/>
      <c r="L207" s="19" t="s">
        <v>18</v>
      </c>
      <c r="M207" s="31" t="s">
        <v>17</v>
      </c>
      <c r="N207" s="31" t="str">
        <f>CONCATENATE("q",$I$10, "_", A$24)</f>
        <v>q16305_11</v>
      </c>
      <c r="O207" s="312" t="str">
        <f>CONCATENATE(N207, ". ", SUBSTITUTE($E$10, "[item]",$E$24))</f>
        <v>q16305_11. هل استؤجر ماكينة صناعة/معالجة علف الماشية خلال الـ12 شهر الماضية؟</v>
      </c>
      <c r="P207" s="117" t="str">
        <f>CONCATENATE(N207, ". ", SUBSTITUTE($B$10, "[item]",$B$24))</f>
        <v>q16305_11. Was the machine to process livestock feed rented out in the last 12 months?</v>
      </c>
      <c r="S207" s="181" t="str">
        <f>CONCATENATE(K199, " &amp;&amp; ", S198)</f>
        <v>selected(data('q16301_11'),'1') &amp;&amp; data('valid_overall') == 1</v>
      </c>
      <c r="Y207" s="31" t="b">
        <v>1</v>
      </c>
    </row>
    <row r="208" spans="2:25" s="31" customFormat="1">
      <c r="H208" s="216"/>
      <c r="J208" s="88" t="s">
        <v>42</v>
      </c>
      <c r="K208" s="19"/>
      <c r="L208" s="19"/>
      <c r="O208" s="312"/>
      <c r="P208" s="117"/>
      <c r="S208" s="181"/>
    </row>
    <row r="209" spans="2:25" s="31" customFormat="1">
      <c r="H209" s="216"/>
      <c r="J209" s="88" t="s">
        <v>23</v>
      </c>
      <c r="K209" s="19" t="str">
        <f>CONCATENATE("selected(data('",N207,"'),'1')&amp;&amp; ",K199)</f>
        <v>selected(data('q16305_11'),'1')&amp;&amp; selected(data('q16301_11'),'1')</v>
      </c>
      <c r="L209" s="19"/>
      <c r="O209" s="48"/>
      <c r="S209" s="181"/>
    </row>
    <row r="210" spans="2:25" s="31" customFormat="1" ht="75">
      <c r="H210" s="216"/>
      <c r="J210" s="92"/>
      <c r="K210" s="19"/>
      <c r="L210" s="19" t="s">
        <v>19</v>
      </c>
      <c r="N210" s="31" t="str">
        <f>CONCATENATE("q",$I$11, "_", A$24)</f>
        <v>q16306_11</v>
      </c>
      <c r="O210" s="312" t="str">
        <f>CONCATENATE(N210, ". ", SUBSTITUTE($E$11, "[item]",$E$24))</f>
        <v>q16306_11. كم كانت قيمة الإيجار (بالجنيه)؟</v>
      </c>
      <c r="P210" s="117" t="str">
        <f>CONCATENATE(N210, ". ", SUBSTITUTE($B$11, "[item]",$B$24))</f>
        <v>q16306_11. What was the value of the rental? (in pounds)</v>
      </c>
      <c r="Q210" s="31" t="str">
        <f>$F$11</f>
        <v>*في حالة لا أعرف سجل  999998</v>
      </c>
      <c r="R210" s="31" t="str">
        <f>$C$11</f>
        <v>*If don't know, write 999998</v>
      </c>
      <c r="S210" s="181" t="str">
        <f>CONCATENATE(K209, " &amp;&amp; ", S198)</f>
        <v>selected(data('q16305_11'),'1')&amp;&amp; selected(data('q16301_11'),'1') &amp;&amp; data('valid_overall') == 1</v>
      </c>
      <c r="Y210" s="31" t="b">
        <v>1</v>
      </c>
    </row>
    <row r="211" spans="2:25" s="31" customFormat="1">
      <c r="H211" s="216"/>
      <c r="J211" s="88" t="s">
        <v>42</v>
      </c>
      <c r="K211" s="19"/>
      <c r="L211" s="19"/>
      <c r="O211" s="48"/>
      <c r="S211" s="181"/>
    </row>
    <row r="212" spans="2:25" s="31" customFormat="1">
      <c r="H212" s="216"/>
      <c r="J212" s="405" t="s">
        <v>21</v>
      </c>
      <c r="K212" s="19"/>
      <c r="L212" s="19"/>
      <c r="O212" s="407"/>
      <c r="S212" s="181"/>
    </row>
    <row r="213" spans="2:25" s="31" customFormat="1">
      <c r="H213" s="216"/>
      <c r="J213" s="405" t="s">
        <v>20</v>
      </c>
      <c r="K213" s="19"/>
      <c r="L213" s="19"/>
      <c r="O213" s="407"/>
      <c r="S213" s="181"/>
    </row>
    <row r="214" spans="2:25" s="117" customFormat="1" ht="86.25" customHeight="1">
      <c r="B214" s="168"/>
      <c r="C214" s="168"/>
      <c r="E214" s="168"/>
      <c r="F214" s="168"/>
      <c r="G214" s="168"/>
      <c r="H214" s="191"/>
      <c r="I214" s="168"/>
      <c r="J214" s="178"/>
      <c r="K214" s="54"/>
      <c r="L214" s="19" t="s">
        <v>18</v>
      </c>
      <c r="M214" s="31" t="s">
        <v>17</v>
      </c>
      <c r="N214" s="117" t="str">
        <f>CONCATENATE("q",$I$6, "_", A$25)</f>
        <v>q16301_12</v>
      </c>
      <c r="O214" s="312" t="str">
        <f>CONCATENATE(N214, ". ", SUBSTITUTE($E$6, "[item]",$E$25))</f>
        <v>q16301_12. هل تمتلك الأسرة أي ممتلكات من ماكينة رش كيماوي؟</v>
      </c>
      <c r="P214" s="117" t="str">
        <f>CONCATENATE(N214, ". ", SUBSTITUTE($B$6, "[item]",$B$25))</f>
        <v xml:space="preserve">q16301_12. Does your household own any motorized insecticide pump? (Entirely or with sharing)   </v>
      </c>
      <c r="S214" s="117" t="s">
        <v>587</v>
      </c>
    </row>
    <row r="215" spans="2:25" s="31" customFormat="1">
      <c r="B215" s="161"/>
      <c r="C215" s="161"/>
      <c r="E215" s="161"/>
      <c r="F215" s="161"/>
      <c r="G215" s="161"/>
      <c r="H215" s="216"/>
      <c r="I215" s="161"/>
      <c r="J215" s="88" t="s">
        <v>51</v>
      </c>
      <c r="K215" s="19" t="str">
        <f>CONCATENATE("selected(data('",N214,"'),'1')")</f>
        <v>selected(data('q16301_12'),'1')</v>
      </c>
      <c r="L215" s="19"/>
      <c r="O215" s="312"/>
      <c r="P215" s="117"/>
      <c r="S215" s="181"/>
    </row>
    <row r="216" spans="2:25" s="31" customFormat="1" ht="45">
      <c r="H216" s="216"/>
      <c r="J216" s="92"/>
      <c r="K216" s="19"/>
      <c r="L216" s="19" t="s">
        <v>19</v>
      </c>
      <c r="N216" s="31" t="str">
        <f>CONCATENATE("q",$I$7, "_", A$25)</f>
        <v>q16302_12</v>
      </c>
      <c r="O216" s="312" t="str">
        <f>CONCATENATE(N216, ". ", SUBSTITUTE($E$7, "[item]",$E$25))</f>
        <v>q16302_12. كم ماكينة رش كيماوي تمتلك الأسرة؟</v>
      </c>
      <c r="P216" s="117" t="str">
        <f>CONCATENATE(N216, ". ", SUBSTITUTE($B$7, "[item]",$B$25))</f>
        <v>q16302_12. How many motorized insecticide pump does your household own?</v>
      </c>
      <c r="Q216" s="2"/>
      <c r="R216" s="2"/>
      <c r="S216" s="181" t="str">
        <f>CONCATENATE(K215, " &amp;&amp; ", S214)</f>
        <v>selected(data('q16301_12'),'1') &amp;&amp; data('valid_overall') == 1</v>
      </c>
      <c r="T216" s="2"/>
      <c r="U216"/>
      <c r="V216"/>
      <c r="W216"/>
      <c r="X216"/>
      <c r="Y216" s="31" t="b">
        <v>1</v>
      </c>
    </row>
    <row r="217" spans="2:25" s="31" customFormat="1" ht="60">
      <c r="H217" s="216"/>
      <c r="J217" s="92"/>
      <c r="K217" s="19"/>
      <c r="L217" s="19" t="s">
        <v>18</v>
      </c>
      <c r="M217" s="31" t="s">
        <v>17</v>
      </c>
      <c r="N217" s="31" t="str">
        <f>CONCATENATE("q",$I$8, "_", A$25)</f>
        <v>q16303_12</v>
      </c>
      <c r="O217" s="312" t="str">
        <f>CONCATENATE(N217, ". ", SUBSTITUTE($E$8, "[item]",$E$25))</f>
        <v>q16303_12. هل تمتلك الأسرة ماكينة رش كيماوي مشاركة مع أسر أخرى؟</v>
      </c>
      <c r="P217" s="117" t="str">
        <f>CONCATENATE(N217, ". ", SUBSTITUTE($B$8, "[item]",$B$25))</f>
        <v>q16303_12. Does your household own any motorized insecticide pump jointly with any other household?</v>
      </c>
      <c r="S217" s="181" t="str">
        <f>CONCATENATE(K215, " &amp;&amp; ", S214)</f>
        <v>selected(data('q16301_12'),'1') &amp;&amp; data('valid_overall') == 1</v>
      </c>
      <c r="Y217" s="31" t="b">
        <v>1</v>
      </c>
    </row>
    <row r="218" spans="2:25" s="31" customFormat="1">
      <c r="H218" s="216"/>
      <c r="J218" s="139" t="s">
        <v>42</v>
      </c>
      <c r="K218" s="18"/>
      <c r="L218" s="19"/>
      <c r="O218" s="312"/>
      <c r="P218" s="117"/>
      <c r="S218" s="9"/>
    </row>
    <row r="219" spans="2:25" s="31" customFormat="1">
      <c r="H219" s="216"/>
      <c r="J219" s="88" t="s">
        <v>51</v>
      </c>
      <c r="K219" s="19" t="str">
        <f>CONCATENATE("selected(data('",N217,"'),'1') &amp;&amp; ", K215)</f>
        <v>selected(data('q16303_12'),'1') &amp;&amp; selected(data('q16301_12'),'1')</v>
      </c>
      <c r="L219" s="19"/>
      <c r="O219" s="48"/>
      <c r="S219" s="181"/>
    </row>
    <row r="220" spans="2:25" s="31" customFormat="1" ht="90">
      <c r="H220" s="216"/>
      <c r="J220" s="433"/>
      <c r="K220" s="19"/>
      <c r="L220" s="19" t="s">
        <v>19</v>
      </c>
      <c r="N220" s="31" t="str">
        <f>CONCATENATE("q",$I$9, "_", A$25)</f>
        <v>q16304_12</v>
      </c>
      <c r="O220" s="312" t="str">
        <f>CONCATENATE(N220, ". ", SUBSTITUTE($E$9, "[item]",$E$25))</f>
        <v>q16304_12. ما نصيب الأسرة من ماكينة رش كيماوي؟</v>
      </c>
      <c r="P220" s="117" t="str">
        <f>CONCATENATE(N220, ". ", SUBSTITUTE($B$9, "[item]",$B$25))</f>
        <v>q16304_12. What share of these motorized insecticide pump belong to your household?</v>
      </c>
      <c r="Q220" s="31" t="str">
        <f>$G$9</f>
        <v>سجل النسبة من 0-100. إذا كانت النسبة تختلف من سلعة لأخرى، سجل متوسط نصيب الاسرة.</v>
      </c>
      <c r="R220" s="31" t="str">
        <f>$D$9</f>
        <v>Answer as a percentage (0-100). *If share differs over items, record average share.</v>
      </c>
      <c r="S220" s="181" t="str">
        <f>CONCATENATE(,K219, " &amp;&amp; ",  S214)</f>
        <v>selected(data('q16303_12'),'1') &amp;&amp; selected(data('q16301_12'),'1') &amp;&amp; data('valid_overall') == 1</v>
      </c>
      <c r="V220" s="63" t="str">
        <f>CONCATENATE("(data('",N220,"') &gt;= 0 &amp;&amp; data('",N220,"') &lt;= 100)")</f>
        <v>(data('q16304_12') &gt;= 0 &amp;&amp; data('q16304_12') &lt;= 100)</v>
      </c>
      <c r="W220" s="16" t="s">
        <v>1051</v>
      </c>
      <c r="X220" s="63" t="s">
        <v>441</v>
      </c>
      <c r="Y220" s="31" t="b">
        <v>1</v>
      </c>
    </row>
    <row r="221" spans="2:25" s="31" customFormat="1">
      <c r="H221" s="216"/>
      <c r="J221" s="88" t="s">
        <v>42</v>
      </c>
      <c r="K221" s="19"/>
      <c r="L221" s="19"/>
      <c r="O221" s="48"/>
      <c r="S221" s="181"/>
    </row>
    <row r="222" spans="2:25" s="31" customFormat="1">
      <c r="H222" s="216"/>
      <c r="J222" s="88" t="s">
        <v>51</v>
      </c>
      <c r="K222" s="19" t="str">
        <f>CONCATENATE("selected(data('",N214,"'),'1')")</f>
        <v>selected(data('q16301_12'),'1')</v>
      </c>
      <c r="L222" s="19"/>
      <c r="O222" s="48"/>
      <c r="S222" s="181"/>
    </row>
    <row r="223" spans="2:25" s="31" customFormat="1" ht="45">
      <c r="H223" s="216"/>
      <c r="J223" s="88"/>
      <c r="K223" s="19"/>
      <c r="L223" s="19" t="s">
        <v>18</v>
      </c>
      <c r="M223" s="31" t="s">
        <v>17</v>
      </c>
      <c r="N223" s="31" t="str">
        <f>CONCATENATE("q",$I$10, "_", A$25)</f>
        <v>q16305_12</v>
      </c>
      <c r="O223" s="312" t="str">
        <f>CONCATENATE(N223, ". ", SUBSTITUTE($E$10, "[item]",$E$25))</f>
        <v>q16305_12. هل استؤجر ماكينة رش كيماوي خلال الـ12 شهر الماضية؟</v>
      </c>
      <c r="P223" s="117" t="str">
        <f>CONCATENATE(N223, ". ", SUBSTITUTE($B$10, "[item]",$B$25))</f>
        <v>q16305_12. Was the motorized insecticide pump rented out in the last 12 months?</v>
      </c>
      <c r="S223" s="181" t="str">
        <f>CONCATENATE(K215, " &amp;&amp; ", S214)</f>
        <v>selected(data('q16301_12'),'1') &amp;&amp; data('valid_overall') == 1</v>
      </c>
      <c r="Y223" s="31" t="b">
        <v>1</v>
      </c>
    </row>
    <row r="224" spans="2:25" s="31" customFormat="1">
      <c r="H224" s="216"/>
      <c r="J224" s="88" t="s">
        <v>42</v>
      </c>
      <c r="K224" s="19"/>
      <c r="L224" s="19"/>
      <c r="O224" s="312"/>
      <c r="P224" s="117"/>
      <c r="S224" s="181"/>
    </row>
    <row r="225" spans="2:25" s="31" customFormat="1">
      <c r="H225" s="216"/>
      <c r="J225" s="88" t="s">
        <v>23</v>
      </c>
      <c r="K225" s="19" t="str">
        <f>CONCATENATE("selected(data('",N223,"'),'1')&amp;&amp; ",K215)</f>
        <v>selected(data('q16305_12'),'1')&amp;&amp; selected(data('q16301_12'),'1')</v>
      </c>
      <c r="L225" s="19"/>
      <c r="O225" s="48"/>
      <c r="S225" s="181"/>
    </row>
    <row r="226" spans="2:25" s="31" customFormat="1" ht="75">
      <c r="H226" s="216"/>
      <c r="J226" s="92"/>
      <c r="K226" s="19"/>
      <c r="L226" s="19" t="s">
        <v>19</v>
      </c>
      <c r="N226" s="31" t="str">
        <f>CONCATENATE("q",$I$11, "_", A$25)</f>
        <v>q16306_12</v>
      </c>
      <c r="O226" s="312" t="str">
        <f>CONCATENATE(N226, ". ", SUBSTITUTE($E$11, "[item]",$E$25))</f>
        <v>q16306_12. كم كانت قيمة الإيجار (بالجنيه)؟</v>
      </c>
      <c r="P226" s="117" t="str">
        <f>CONCATENATE(N226, ". ", SUBSTITUTE($B$11, "[item]",$B$25))</f>
        <v>q16306_12. What was the value of the rental? (in pounds)</v>
      </c>
      <c r="Q226" s="31" t="str">
        <f>$F$11</f>
        <v>*في حالة لا أعرف سجل  999998</v>
      </c>
      <c r="R226" s="31" t="str">
        <f>$C$11</f>
        <v>*If don't know, write 999998</v>
      </c>
      <c r="S226" s="181" t="str">
        <f>CONCATENATE(K225, " &amp;&amp; ", S214)</f>
        <v>selected(data('q16305_12'),'1')&amp;&amp; selected(data('q16301_12'),'1') &amp;&amp; data('valid_overall') == 1</v>
      </c>
      <c r="Y226" s="31" t="b">
        <v>1</v>
      </c>
    </row>
    <row r="227" spans="2:25" s="31" customFormat="1">
      <c r="H227" s="216"/>
      <c r="J227" s="88" t="s">
        <v>42</v>
      </c>
      <c r="K227" s="19"/>
      <c r="L227" s="19"/>
      <c r="O227" s="48"/>
      <c r="S227" s="181"/>
    </row>
    <row r="228" spans="2:25" s="31" customFormat="1">
      <c r="H228" s="216"/>
      <c r="J228" s="405" t="s">
        <v>21</v>
      </c>
      <c r="K228" s="19"/>
      <c r="L228" s="19"/>
      <c r="O228" s="407"/>
      <c r="S228" s="181"/>
    </row>
    <row r="229" spans="2:25" s="31" customFormat="1">
      <c r="H229" s="216"/>
      <c r="J229" s="405" t="s">
        <v>20</v>
      </c>
      <c r="K229" s="19"/>
      <c r="L229" s="19"/>
      <c r="O229" s="407"/>
      <c r="S229" s="181"/>
    </row>
    <row r="230" spans="2:25" s="117" customFormat="1" ht="45">
      <c r="B230" s="168"/>
      <c r="C230" s="168"/>
      <c r="E230" s="168"/>
      <c r="F230" s="168"/>
      <c r="G230" s="168"/>
      <c r="H230" s="191"/>
      <c r="I230" s="168"/>
      <c r="J230" s="178"/>
      <c r="K230" s="54"/>
      <c r="L230" s="19" t="s">
        <v>18</v>
      </c>
      <c r="M230" s="31" t="s">
        <v>17</v>
      </c>
      <c r="N230" s="117" t="str">
        <f>CONCATENATE("q",$I$6, "_", A$26)</f>
        <v>q16301_13</v>
      </c>
      <c r="O230" s="312" t="str">
        <f>CONCATENATE(N230, ". ", SUBSTITUTE($E$6, "[item]",$E$26))</f>
        <v>q16301_13. هل تمتلك الأسرة أي ممتلكات من مضخة يدوية لرش الكيماوي؟</v>
      </c>
      <c r="P230" s="117" t="str">
        <f>CONCATENATE(N230, ". ", SUBSTITUTE($B$6, "[item]",$B$26))</f>
        <v xml:space="preserve">q16301_13. Does your household own any hand insecticide pump? (Entirely or with sharing)   </v>
      </c>
      <c r="S230" s="117" t="s">
        <v>587</v>
      </c>
    </row>
    <row r="231" spans="2:25" s="31" customFormat="1">
      <c r="B231" s="161"/>
      <c r="C231" s="161"/>
      <c r="E231" s="161"/>
      <c r="F231" s="161"/>
      <c r="G231" s="161"/>
      <c r="H231" s="216"/>
      <c r="I231" s="161"/>
      <c r="J231" s="88" t="s">
        <v>51</v>
      </c>
      <c r="K231" s="19" t="str">
        <f>CONCATENATE("selected(data('",N230,"'),'1')")</f>
        <v>selected(data('q16301_13'),'1')</v>
      </c>
      <c r="L231" s="19"/>
      <c r="O231" s="312"/>
      <c r="P231" s="117"/>
      <c r="S231" s="181"/>
    </row>
    <row r="232" spans="2:25" s="31" customFormat="1" ht="45">
      <c r="H232" s="216"/>
      <c r="J232" s="92"/>
      <c r="K232" s="19"/>
      <c r="L232" s="19" t="s">
        <v>19</v>
      </c>
      <c r="N232" s="31" t="str">
        <f>CONCATENATE("q",$I$7, "_", A$26)</f>
        <v>q16302_13</v>
      </c>
      <c r="O232" s="312" t="str">
        <f>CONCATENATE(N232, ". ", SUBSTITUTE($E$7, "[item]",$E$26))</f>
        <v>q16302_13. كم مضخة يدوية لرش الكيماوي تمتلك الأسرة؟</v>
      </c>
      <c r="P232" s="117" t="str">
        <f>CONCATENATE(N232, ". ", SUBSTITUTE($B$7, "[item]",$B$26))</f>
        <v>q16302_13. How many hand insecticide pump does your household own?</v>
      </c>
      <c r="Q232" s="2"/>
      <c r="R232" s="2"/>
      <c r="S232" s="181" t="str">
        <f>CONCATENATE(K231, " &amp;&amp; ", S230)</f>
        <v>selected(data('q16301_13'),'1') &amp;&amp; data('valid_overall') == 1</v>
      </c>
      <c r="T232" s="2"/>
      <c r="U232"/>
      <c r="V232"/>
      <c r="W232"/>
      <c r="X232"/>
      <c r="Y232" s="31" t="b">
        <v>1</v>
      </c>
    </row>
    <row r="233" spans="2:25" s="31" customFormat="1" ht="45">
      <c r="H233" s="216"/>
      <c r="J233" s="92"/>
      <c r="K233" s="19"/>
      <c r="L233" s="19" t="s">
        <v>18</v>
      </c>
      <c r="M233" s="31" t="s">
        <v>17</v>
      </c>
      <c r="N233" s="31" t="str">
        <f>CONCATENATE("q",$I$8, "_", A$26)</f>
        <v>q16303_13</v>
      </c>
      <c r="O233" s="312" t="str">
        <f>CONCATENATE(N233, ". ", SUBSTITUTE($E$8, "[item]",$E$26))</f>
        <v>q16303_13. هل تمتلك الأسرة مضخة يدوية لرش الكيماوي مشاركة مع أسر أخرى؟</v>
      </c>
      <c r="P233" s="117" t="str">
        <f>CONCATENATE(N233, ". ", SUBSTITUTE($B$8, "[item]",$B$26))</f>
        <v>q16303_13. Does your household own any hand insecticide pump jointly with any other household?</v>
      </c>
      <c r="S233" s="181" t="str">
        <f>CONCATENATE(K231, " &amp;&amp; ", S230)</f>
        <v>selected(data('q16301_13'),'1') &amp;&amp; data('valid_overall') == 1</v>
      </c>
      <c r="Y233" s="31" t="b">
        <v>1</v>
      </c>
    </row>
    <row r="234" spans="2:25" s="31" customFormat="1">
      <c r="H234" s="216"/>
      <c r="J234" s="139" t="s">
        <v>42</v>
      </c>
      <c r="K234" s="18"/>
      <c r="L234" s="19"/>
      <c r="O234" s="312"/>
      <c r="P234" s="117"/>
      <c r="S234" s="9"/>
    </row>
    <row r="235" spans="2:25" s="31" customFormat="1">
      <c r="H235" s="216"/>
      <c r="J235" s="88" t="s">
        <v>51</v>
      </c>
      <c r="K235" s="19" t="str">
        <f>CONCATENATE("selected(data('",N233,"'),'1') &amp;&amp; ", K231)</f>
        <v>selected(data('q16303_13'),'1') &amp;&amp; selected(data('q16301_13'),'1')</v>
      </c>
      <c r="L235" s="19"/>
      <c r="O235" s="48"/>
      <c r="S235" s="181"/>
    </row>
    <row r="236" spans="2:25" s="31" customFormat="1" ht="90">
      <c r="H236" s="216"/>
      <c r="J236" s="433"/>
      <c r="K236" s="19"/>
      <c r="L236" s="19" t="s">
        <v>19</v>
      </c>
      <c r="N236" s="31" t="str">
        <f>CONCATENATE("q",$I$9, "_", A$26)</f>
        <v>q16304_13</v>
      </c>
      <c r="O236" s="312" t="str">
        <f>CONCATENATE(N236, ". ", SUBSTITUTE($E$9, "[item]",$E$26))</f>
        <v>q16304_13. ما نصيب الأسرة من مضخة يدوية لرش الكيماوي؟</v>
      </c>
      <c r="P236" s="117" t="str">
        <f>CONCATENATE(N236, ". ", SUBSTITUTE($B$9, "[item]",$B$26))</f>
        <v>q16304_13. What share of these hand insecticide pump belong to your household?</v>
      </c>
      <c r="Q236" s="31" t="str">
        <f>$G$9</f>
        <v>سجل النسبة من 0-100. إذا كانت النسبة تختلف من سلعة لأخرى، سجل متوسط نصيب الاسرة.</v>
      </c>
      <c r="R236" s="31" t="str">
        <f>$D$9</f>
        <v>Answer as a percentage (0-100). *If share differs over items, record average share.</v>
      </c>
      <c r="S236" s="181" t="str">
        <f>CONCATENATE(,K235, " &amp;&amp; ",  S230)</f>
        <v>selected(data('q16303_13'),'1') &amp;&amp; selected(data('q16301_13'),'1') &amp;&amp; data('valid_overall') == 1</v>
      </c>
      <c r="V236" s="63" t="str">
        <f>CONCATENATE("(data('",N236,"') &gt;= 0 &amp;&amp; data('",N236,"') &lt;= 100)")</f>
        <v>(data('q16304_13') &gt;= 0 &amp;&amp; data('q16304_13') &lt;= 100)</v>
      </c>
      <c r="W236" s="16" t="s">
        <v>1051</v>
      </c>
      <c r="X236" s="63" t="s">
        <v>441</v>
      </c>
      <c r="Y236" s="31" t="b">
        <v>1</v>
      </c>
    </row>
    <row r="237" spans="2:25" s="31" customFormat="1">
      <c r="H237" s="216"/>
      <c r="J237" s="88" t="s">
        <v>42</v>
      </c>
      <c r="K237" s="19"/>
      <c r="L237" s="19"/>
      <c r="O237" s="48"/>
      <c r="S237" s="181"/>
    </row>
    <row r="238" spans="2:25" s="31" customFormat="1">
      <c r="H238" s="216"/>
      <c r="J238" s="88" t="s">
        <v>51</v>
      </c>
      <c r="K238" s="19" t="str">
        <f>CONCATENATE("selected(data('",N230,"'),'1')")</f>
        <v>selected(data('q16301_13'),'1')</v>
      </c>
      <c r="L238" s="19"/>
      <c r="O238" s="48"/>
      <c r="S238" s="181"/>
    </row>
    <row r="239" spans="2:25" s="31" customFormat="1" ht="45">
      <c r="H239" s="216"/>
      <c r="J239" s="88"/>
      <c r="K239" s="19"/>
      <c r="L239" s="19" t="s">
        <v>18</v>
      </c>
      <c r="M239" s="31" t="s">
        <v>17</v>
      </c>
      <c r="N239" s="31" t="str">
        <f>CONCATENATE("q",$I$10, "_", A$26)</f>
        <v>q16305_13</v>
      </c>
      <c r="O239" s="312" t="str">
        <f>CONCATENATE(N239, ". ", SUBSTITUTE($E$10, "[item]",$E$26))</f>
        <v>q16305_13. هل استؤجر مضخة يدوية لرش الكيماوي خلال الـ12 شهر الماضية؟</v>
      </c>
      <c r="P239" s="117" t="str">
        <f>CONCATENATE(N239, ". ", SUBSTITUTE($B$10, "[item]",$B$26))</f>
        <v>q16305_13. Was the hand insecticide pump rented out in the last 12 months?</v>
      </c>
      <c r="S239" s="181" t="str">
        <f>CONCATENATE(K231, " &amp;&amp; ", S230)</f>
        <v>selected(data('q16301_13'),'1') &amp;&amp; data('valid_overall') == 1</v>
      </c>
      <c r="Y239" s="31" t="b">
        <v>1</v>
      </c>
    </row>
    <row r="240" spans="2:25" s="31" customFormat="1">
      <c r="H240" s="216"/>
      <c r="J240" s="88" t="s">
        <v>42</v>
      </c>
      <c r="K240" s="19"/>
      <c r="L240" s="19"/>
      <c r="O240" s="312"/>
      <c r="P240" s="117"/>
      <c r="S240" s="181"/>
    </row>
    <row r="241" spans="2:25" s="31" customFormat="1">
      <c r="H241" s="216"/>
      <c r="J241" s="88" t="s">
        <v>23</v>
      </c>
      <c r="K241" s="19" t="str">
        <f>CONCATENATE("selected(data('",N239,"'),'1')&amp;&amp; ",K231)</f>
        <v>selected(data('q16305_13'),'1')&amp;&amp; selected(data('q16301_13'),'1')</v>
      </c>
      <c r="L241" s="19"/>
      <c r="O241" s="48"/>
      <c r="S241" s="181"/>
    </row>
    <row r="242" spans="2:25" s="31" customFormat="1" ht="75">
      <c r="H242" s="216"/>
      <c r="J242" s="92"/>
      <c r="K242" s="19"/>
      <c r="L242" s="19" t="s">
        <v>19</v>
      </c>
      <c r="N242" s="31" t="str">
        <f>CONCATENATE("q",$I$11, "_", A$26)</f>
        <v>q16306_13</v>
      </c>
      <c r="O242" s="312" t="str">
        <f>CONCATENATE(N242, ". ", SUBSTITUTE($E$11, "[item]",$E$26))</f>
        <v>q16306_13. كم كانت قيمة الإيجار (بالجنيه)؟</v>
      </c>
      <c r="P242" s="117" t="str">
        <f>CONCATENATE(N242, ". ", SUBSTITUTE($B$11, "[item]",$B$26))</f>
        <v>q16306_13. What was the value of the rental? (in pounds)</v>
      </c>
      <c r="Q242" s="31" t="str">
        <f>$F$11</f>
        <v>*في حالة لا أعرف سجل  999998</v>
      </c>
      <c r="R242" s="31" t="str">
        <f>$C$11</f>
        <v>*If don't know, write 999998</v>
      </c>
      <c r="S242" s="181" t="str">
        <f>CONCATENATE(K241, " &amp;&amp; ", S230)</f>
        <v>selected(data('q16305_13'),'1')&amp;&amp; selected(data('q16301_13'),'1') &amp;&amp; data('valid_overall') == 1</v>
      </c>
      <c r="Y242" s="31" t="b">
        <v>1</v>
      </c>
    </row>
    <row r="243" spans="2:25" s="31" customFormat="1">
      <c r="H243" s="216"/>
      <c r="J243" s="88" t="s">
        <v>42</v>
      </c>
      <c r="K243" s="19"/>
      <c r="L243" s="19"/>
      <c r="O243" s="48"/>
      <c r="S243" s="181"/>
    </row>
    <row r="244" spans="2:25" s="31" customFormat="1">
      <c r="H244" s="216"/>
      <c r="J244" s="434" t="s">
        <v>21</v>
      </c>
      <c r="K244" s="19"/>
      <c r="L244" s="19"/>
      <c r="O244" s="407"/>
      <c r="S244" s="181"/>
    </row>
    <row r="245" spans="2:25" s="31" customFormat="1">
      <c r="H245" s="216"/>
      <c r="J245" s="434" t="s">
        <v>20</v>
      </c>
      <c r="K245" s="19"/>
      <c r="L245" s="19"/>
      <c r="O245" s="407"/>
      <c r="S245" s="181"/>
    </row>
    <row r="246" spans="2:25" s="117" customFormat="1" ht="45">
      <c r="B246" s="168"/>
      <c r="C246" s="168"/>
      <c r="E246" s="168"/>
      <c r="F246" s="168"/>
      <c r="G246" s="168"/>
      <c r="H246" s="191"/>
      <c r="I246" s="168"/>
      <c r="J246" s="178"/>
      <c r="K246" s="54"/>
      <c r="L246" s="19" t="s">
        <v>18</v>
      </c>
      <c r="M246" s="31" t="s">
        <v>17</v>
      </c>
      <c r="N246" s="117" t="str">
        <f>CONCATENATE("q",$I$6, "_", A$27)</f>
        <v>q16301_14</v>
      </c>
      <c r="O246" s="312" t="str">
        <f>CONCATENATE(N246, ". ", SUBSTITUTE($E$6, "[item]",$E$27))</f>
        <v>q16301_14. هل تمتلك الأسرة أي ممتلكات من عربة يجرها حمار؟</v>
      </c>
      <c r="P246" s="117" t="str">
        <f>CONCATENATE(N246, ". ", SUBSTITUTE($B$6, "[item]",$B$27))</f>
        <v xml:space="preserve">q16301_14. Does your household own any donkey cart? (Entirely or with sharing)   </v>
      </c>
      <c r="S246" s="117" t="s">
        <v>587</v>
      </c>
    </row>
    <row r="247" spans="2:25" s="31" customFormat="1">
      <c r="B247" s="161"/>
      <c r="C247" s="161"/>
      <c r="E247" s="161"/>
      <c r="F247" s="161"/>
      <c r="G247" s="161"/>
      <c r="H247" s="216"/>
      <c r="I247" s="161"/>
      <c r="J247" s="88" t="s">
        <v>51</v>
      </c>
      <c r="K247" s="19" t="str">
        <f>CONCATENATE("selected(data('",N246,"'),'1')")</f>
        <v>selected(data('q16301_14'),'1')</v>
      </c>
      <c r="L247" s="19"/>
      <c r="O247" s="312"/>
      <c r="P247" s="117"/>
      <c r="S247" s="181"/>
    </row>
    <row r="248" spans="2:25" s="31" customFormat="1" ht="45">
      <c r="H248" s="216"/>
      <c r="J248" s="92"/>
      <c r="K248" s="19"/>
      <c r="L248" s="19" t="s">
        <v>19</v>
      </c>
      <c r="N248" s="31" t="str">
        <f>CONCATENATE("q",$I$7, "_", A$27)</f>
        <v>q16302_14</v>
      </c>
      <c r="O248" s="312" t="str">
        <f>CONCATENATE(N248, ". ", SUBSTITUTE($E$7, "[item]",$E$27))</f>
        <v>q16302_14. كم عربة يجرها حمار تمتلك الأسرة؟</v>
      </c>
      <c r="P248" s="117" t="str">
        <f>CONCATENATE(N248, ". ", SUBSTITUTE($B$7, "[item]",$B$27))</f>
        <v>q16302_14. How many donkey cart does your household own?</v>
      </c>
      <c r="Q248" s="2"/>
      <c r="R248" s="2"/>
      <c r="S248" s="181" t="str">
        <f>CONCATENATE(K247, " &amp;&amp; ", S246)</f>
        <v>selected(data('q16301_14'),'1') &amp;&amp; data('valid_overall') == 1</v>
      </c>
      <c r="T248" s="2"/>
      <c r="U248"/>
      <c r="V248"/>
      <c r="W248"/>
      <c r="X248"/>
      <c r="Y248" s="31" t="b">
        <v>1</v>
      </c>
    </row>
    <row r="249" spans="2:25" s="31" customFormat="1" ht="45">
      <c r="H249" s="216"/>
      <c r="J249" s="92"/>
      <c r="K249" s="19"/>
      <c r="L249" s="19" t="s">
        <v>18</v>
      </c>
      <c r="M249" s="31" t="s">
        <v>17</v>
      </c>
      <c r="N249" s="31" t="str">
        <f>CONCATENATE("q",$I$8, "_", A$27)</f>
        <v>q16303_14</v>
      </c>
      <c r="O249" s="312" t="str">
        <f>CONCATENATE(N249, ". ", SUBSTITUTE($E$8, "[item]",$E$27))</f>
        <v>q16303_14. هل تمتلك الأسرة عربة يجرها حمار مشاركة مع أسر أخرى؟</v>
      </c>
      <c r="P249" s="117" t="str">
        <f>CONCATENATE(N249, ". ", SUBSTITUTE($B$8, "[item]",$B$27))</f>
        <v>q16303_14. Does your household own any donkey cart jointly with any other household?</v>
      </c>
      <c r="S249" s="181" t="str">
        <f>CONCATENATE(K247, " &amp;&amp; ", S246)</f>
        <v>selected(data('q16301_14'),'1') &amp;&amp; data('valid_overall') == 1</v>
      </c>
      <c r="Y249" s="31" t="b">
        <v>1</v>
      </c>
    </row>
    <row r="250" spans="2:25" s="31" customFormat="1">
      <c r="H250" s="216"/>
      <c r="J250" s="139" t="s">
        <v>42</v>
      </c>
      <c r="K250" s="18"/>
      <c r="L250" s="19"/>
      <c r="O250" s="312"/>
      <c r="P250" s="117"/>
      <c r="S250" s="9"/>
    </row>
    <row r="251" spans="2:25" s="31" customFormat="1">
      <c r="H251" s="216"/>
      <c r="J251" s="88" t="s">
        <v>51</v>
      </c>
      <c r="K251" s="19" t="str">
        <f>CONCATENATE("selected(data('",N249,"'),'1') &amp;&amp; ", K247)</f>
        <v>selected(data('q16303_14'),'1') &amp;&amp; selected(data('q16301_14'),'1')</v>
      </c>
      <c r="L251" s="19"/>
      <c r="O251" s="48"/>
      <c r="S251" s="181"/>
    </row>
    <row r="252" spans="2:25" s="31" customFormat="1" ht="90">
      <c r="H252" s="216"/>
      <c r="J252" s="433"/>
      <c r="K252" s="19"/>
      <c r="L252" s="19" t="s">
        <v>19</v>
      </c>
      <c r="N252" s="31" t="str">
        <f>CONCATENATE("q",$I$9, "_", A$27)</f>
        <v>q16304_14</v>
      </c>
      <c r="O252" s="312" t="str">
        <f>CONCATENATE(N252, ". ", SUBSTITUTE($E$9, "[item]",$E$27))</f>
        <v>q16304_14. ما نصيب الأسرة من عربة يجرها حمار؟</v>
      </c>
      <c r="P252" s="117" t="str">
        <f>CONCATENATE(N252, ". ", SUBSTITUTE($B$9, "[item]",$B$27))</f>
        <v>q16304_14. What share of these donkey cart belong to your household?</v>
      </c>
      <c r="Q252" s="31" t="str">
        <f>$G$9</f>
        <v>سجل النسبة من 0-100. إذا كانت النسبة تختلف من سلعة لأخرى، سجل متوسط نصيب الاسرة.</v>
      </c>
      <c r="R252" s="31" t="str">
        <f>$D$9</f>
        <v>Answer as a percentage (0-100). *If share differs over items, record average share.</v>
      </c>
      <c r="S252" s="181" t="str">
        <f>CONCATENATE(,K251, " &amp;&amp; ",  S246)</f>
        <v>selected(data('q16303_14'),'1') &amp;&amp; selected(data('q16301_14'),'1') &amp;&amp; data('valid_overall') == 1</v>
      </c>
      <c r="V252" s="63" t="str">
        <f>CONCATENATE("(data('",N252,"') &gt;= 0 &amp;&amp; data('",N252,"') &lt;= 100)")</f>
        <v>(data('q16304_14') &gt;= 0 &amp;&amp; data('q16304_14') &lt;= 100)</v>
      </c>
      <c r="W252" s="16" t="s">
        <v>1051</v>
      </c>
      <c r="X252" s="63" t="s">
        <v>441</v>
      </c>
      <c r="Y252" s="31" t="b">
        <v>1</v>
      </c>
    </row>
    <row r="253" spans="2:25" s="31" customFormat="1">
      <c r="H253" s="216"/>
      <c r="J253" s="88" t="s">
        <v>42</v>
      </c>
      <c r="K253" s="19"/>
      <c r="L253" s="19"/>
      <c r="O253" s="48"/>
      <c r="S253" s="181"/>
    </row>
    <row r="254" spans="2:25" s="31" customFormat="1">
      <c r="H254" s="216"/>
      <c r="J254" s="88" t="s">
        <v>51</v>
      </c>
      <c r="K254" s="19" t="str">
        <f>CONCATENATE("selected(data('",N246,"'),'1')")</f>
        <v>selected(data('q16301_14'),'1')</v>
      </c>
      <c r="L254" s="19"/>
      <c r="O254" s="48"/>
      <c r="S254" s="181"/>
    </row>
    <row r="255" spans="2:25" s="31" customFormat="1" ht="45">
      <c r="H255" s="216"/>
      <c r="J255" s="88"/>
      <c r="K255" s="19"/>
      <c r="L255" s="19" t="s">
        <v>18</v>
      </c>
      <c r="M255" s="31" t="s">
        <v>17</v>
      </c>
      <c r="N255" s="31" t="str">
        <f>CONCATENATE("q",$I$10, "_", A$27)</f>
        <v>q16305_14</v>
      </c>
      <c r="O255" s="312" t="str">
        <f>CONCATENATE(N255, ". ", SUBSTITUTE($E$10, "[item]",$E$27))</f>
        <v>q16305_14. هل استؤجر عربة يجرها حمار خلال الـ12 شهر الماضية؟</v>
      </c>
      <c r="P255" s="117" t="str">
        <f>CONCATENATE(N255, ". ", SUBSTITUTE($B$10, "[item]",$B$27))</f>
        <v>q16305_14. Was the donkey cart rented out in the last 12 months?</v>
      </c>
      <c r="S255" s="181" t="str">
        <f>CONCATENATE(K247, " &amp;&amp; ", S246)</f>
        <v>selected(data('q16301_14'),'1') &amp;&amp; data('valid_overall') == 1</v>
      </c>
      <c r="Y255" s="31" t="b">
        <v>1</v>
      </c>
    </row>
    <row r="256" spans="2:25" s="31" customFormat="1">
      <c r="H256" s="216"/>
      <c r="J256" s="88" t="s">
        <v>42</v>
      </c>
      <c r="K256" s="19"/>
      <c r="L256" s="19"/>
      <c r="O256" s="312"/>
      <c r="P256" s="117"/>
      <c r="S256" s="181"/>
    </row>
    <row r="257" spans="2:25" s="31" customFormat="1">
      <c r="H257" s="216"/>
      <c r="J257" s="88" t="s">
        <v>23</v>
      </c>
      <c r="K257" s="19" t="str">
        <f>CONCATENATE("selected(data('",N255,"'),'1')&amp;&amp; ",K247)</f>
        <v>selected(data('q16305_14'),'1')&amp;&amp; selected(data('q16301_14'),'1')</v>
      </c>
      <c r="L257" s="19"/>
      <c r="O257" s="48"/>
      <c r="S257" s="181"/>
    </row>
    <row r="258" spans="2:25" s="31" customFormat="1" ht="75">
      <c r="H258" s="216"/>
      <c r="J258" s="92"/>
      <c r="K258" s="19"/>
      <c r="L258" s="19" t="s">
        <v>19</v>
      </c>
      <c r="N258" s="31" t="str">
        <f>CONCATENATE("q",$I$11, "_", A$27)</f>
        <v>q16306_14</v>
      </c>
      <c r="O258" s="312" t="str">
        <f>CONCATENATE(N258, ". ", SUBSTITUTE($E$11, "[item]",$E$27))</f>
        <v>q16306_14. كم كانت قيمة الإيجار (بالجنيه)؟</v>
      </c>
      <c r="P258" s="117" t="str">
        <f>CONCATENATE(N258, ". ", SUBSTITUTE($B$11, "[item]",$B$27))</f>
        <v>q16306_14. What was the value of the rental? (in pounds)</v>
      </c>
      <c r="Q258" s="31" t="str">
        <f>$F$11</f>
        <v>*في حالة لا أعرف سجل  999998</v>
      </c>
      <c r="R258" s="31" t="str">
        <f>$C$11</f>
        <v>*If don't know, write 999998</v>
      </c>
      <c r="S258" s="181" t="str">
        <f>CONCATENATE(K257, " &amp;&amp; ", S246)</f>
        <v>selected(data('q16305_14'),'1')&amp;&amp; selected(data('q16301_14'),'1') &amp;&amp; data('valid_overall') == 1</v>
      </c>
      <c r="Y258" s="31" t="b">
        <v>1</v>
      </c>
    </row>
    <row r="259" spans="2:25" s="31" customFormat="1">
      <c r="H259" s="216"/>
      <c r="J259" s="88" t="s">
        <v>42</v>
      </c>
      <c r="K259" s="19"/>
      <c r="L259" s="19"/>
      <c r="O259" s="48"/>
      <c r="S259" s="181"/>
    </row>
    <row r="260" spans="2:25" s="31" customFormat="1">
      <c r="H260" s="216"/>
      <c r="J260" s="405" t="s">
        <v>21</v>
      </c>
      <c r="K260" s="19"/>
      <c r="L260" s="19"/>
      <c r="O260" s="407"/>
      <c r="S260" s="181"/>
    </row>
    <row r="261" spans="2:25" s="31" customFormat="1">
      <c r="H261" s="216"/>
      <c r="J261" s="405" t="s">
        <v>20</v>
      </c>
      <c r="K261" s="19"/>
      <c r="L261" s="19"/>
      <c r="O261" s="407"/>
      <c r="S261" s="181"/>
    </row>
    <row r="262" spans="2:25" s="117" customFormat="1" ht="86.25" customHeight="1">
      <c r="B262" s="168"/>
      <c r="C262" s="168"/>
      <c r="E262" s="168"/>
      <c r="F262" s="168"/>
      <c r="G262" s="168"/>
      <c r="H262" s="191"/>
      <c r="I262" s="168"/>
      <c r="J262" s="178"/>
      <c r="K262" s="54"/>
      <c r="L262" s="19" t="s">
        <v>18</v>
      </c>
      <c r="M262" s="31" t="s">
        <v>17</v>
      </c>
      <c r="N262" s="117" t="str">
        <f>CONCATENATE("q",$I$6, "_", A$28)</f>
        <v>q16301_15</v>
      </c>
      <c r="O262" s="312" t="str">
        <f>CONCATENATE(N262, ". ", SUBSTITUTE($E$6, "[item]",$E$28))</f>
        <v>q16301_15. هل تمتلك الأسرة أي ممتلكات من عربة صغيرة يدفعها شخص؟</v>
      </c>
      <c r="P262" s="117" t="str">
        <f>CONCATENATE(N262, ". ", SUBSTITUTE($B$6, "[item]",$B$28))</f>
        <v xml:space="preserve">q16301_15. Does your household own any small cart pulled by person? (Entirely or with sharing)   </v>
      </c>
      <c r="S262" s="117" t="s">
        <v>587</v>
      </c>
    </row>
    <row r="263" spans="2:25" s="31" customFormat="1">
      <c r="B263" s="161"/>
      <c r="C263" s="161"/>
      <c r="E263" s="161"/>
      <c r="F263" s="161"/>
      <c r="G263" s="161"/>
      <c r="H263" s="216"/>
      <c r="I263" s="161"/>
      <c r="J263" s="88" t="s">
        <v>51</v>
      </c>
      <c r="K263" s="19" t="str">
        <f>CONCATENATE("selected(data('",N262,"'),'1')")</f>
        <v>selected(data('q16301_15'),'1')</v>
      </c>
      <c r="L263" s="19"/>
      <c r="O263" s="312"/>
      <c r="P263" s="117"/>
      <c r="S263" s="181"/>
    </row>
    <row r="264" spans="2:25" s="31" customFormat="1" ht="45">
      <c r="H264" s="216"/>
      <c r="J264" s="92"/>
      <c r="K264" s="19"/>
      <c r="L264" s="19" t="s">
        <v>19</v>
      </c>
      <c r="N264" s="31" t="str">
        <f>CONCATENATE("q",$I$7, "_", A$28)</f>
        <v>q16302_15</v>
      </c>
      <c r="O264" s="312" t="str">
        <f>CONCATENATE(N264, ". ", SUBSTITUTE($E$7, "[item]",$E$28))</f>
        <v>q16302_15. كم عربة صغيرة يدفعها شخص تمتلك الأسرة؟</v>
      </c>
      <c r="P264" s="117" t="str">
        <f>CONCATENATE(N264, ". ", SUBSTITUTE($B$7, "[item]",$B$28))</f>
        <v>q16302_15. How many small cart pulled by person does your household own?</v>
      </c>
      <c r="Q264" s="2"/>
      <c r="R264" s="2"/>
      <c r="S264" s="181" t="str">
        <f>CONCATENATE(K263, " &amp;&amp; ", S262)</f>
        <v>selected(data('q16301_15'),'1') &amp;&amp; data('valid_overall') == 1</v>
      </c>
      <c r="T264" s="2"/>
      <c r="U264"/>
      <c r="V264"/>
      <c r="W264"/>
      <c r="X264"/>
      <c r="Y264" s="31" t="b">
        <v>1</v>
      </c>
    </row>
    <row r="265" spans="2:25" s="31" customFormat="1" ht="60">
      <c r="H265" s="216"/>
      <c r="J265" s="92"/>
      <c r="K265" s="19"/>
      <c r="L265" s="19" t="s">
        <v>18</v>
      </c>
      <c r="M265" s="31" t="s">
        <v>17</v>
      </c>
      <c r="N265" s="31" t="str">
        <f>CONCATENATE("q",$I$8, "_", A$28)</f>
        <v>q16303_15</v>
      </c>
      <c r="O265" s="312" t="str">
        <f>CONCATENATE(N265, ". ", SUBSTITUTE($E$8, "[item]",$E$28))</f>
        <v>q16303_15. هل تمتلك الأسرة عربة صغيرة يدفعها شخص مشاركة مع أسر أخرى؟</v>
      </c>
      <c r="P265" s="117" t="str">
        <f>CONCATENATE(N265, ". ", SUBSTITUTE($B$8, "[item]",$B$28))</f>
        <v>q16303_15. Does your household own any small cart pulled by person jointly with any other household?</v>
      </c>
      <c r="S265" s="181" t="str">
        <f>CONCATENATE(K263, " &amp;&amp; ", S262)</f>
        <v>selected(data('q16301_15'),'1') &amp;&amp; data('valid_overall') == 1</v>
      </c>
      <c r="Y265" s="31" t="b">
        <v>1</v>
      </c>
    </row>
    <row r="266" spans="2:25" s="31" customFormat="1">
      <c r="H266" s="216"/>
      <c r="J266" s="139" t="s">
        <v>42</v>
      </c>
      <c r="K266" s="18"/>
      <c r="L266" s="19"/>
      <c r="O266" s="312"/>
      <c r="P266" s="117"/>
      <c r="S266" s="9"/>
    </row>
    <row r="267" spans="2:25" s="31" customFormat="1">
      <c r="H267" s="216"/>
      <c r="J267" s="88" t="s">
        <v>51</v>
      </c>
      <c r="K267" s="19" t="str">
        <f>CONCATENATE("selected(data('",N265,"'),'1') &amp;&amp; ", K263)</f>
        <v>selected(data('q16303_15'),'1') &amp;&amp; selected(data('q16301_15'),'1')</v>
      </c>
      <c r="L267" s="19"/>
      <c r="O267" s="48"/>
      <c r="S267" s="181"/>
    </row>
    <row r="268" spans="2:25" s="31" customFormat="1" ht="90">
      <c r="H268" s="216"/>
      <c r="J268" s="433"/>
      <c r="K268" s="19"/>
      <c r="L268" s="19" t="s">
        <v>19</v>
      </c>
      <c r="N268" s="31" t="str">
        <f>CONCATENATE("q",$I$9, "_", A$28)</f>
        <v>q16304_15</v>
      </c>
      <c r="O268" s="312" t="str">
        <f>CONCATENATE(N268, ". ", SUBSTITUTE($E$9, "[item]",$E$28))</f>
        <v>q16304_15. ما نصيب الأسرة من عربة صغيرة يدفعها شخص؟</v>
      </c>
      <c r="P268" s="117" t="str">
        <f>CONCATENATE(N268, ". ", SUBSTITUTE($B$9, "[item]",$B$28))</f>
        <v>q16304_15. What share of these small cart pulled by person belong to your household?</v>
      </c>
      <c r="Q268" s="31" t="str">
        <f>$G$9</f>
        <v>سجل النسبة من 0-100. إذا كانت النسبة تختلف من سلعة لأخرى، سجل متوسط نصيب الاسرة.</v>
      </c>
      <c r="R268" s="31" t="str">
        <f>$D$9</f>
        <v>Answer as a percentage (0-100). *If share differs over items, record average share.</v>
      </c>
      <c r="S268" s="181" t="str">
        <f>CONCATENATE(,K267, " &amp;&amp; ",  S262)</f>
        <v>selected(data('q16303_15'),'1') &amp;&amp; selected(data('q16301_15'),'1') &amp;&amp; data('valid_overall') == 1</v>
      </c>
      <c r="V268" s="63" t="str">
        <f>CONCATENATE("(data('",N268,"') &gt;= 0 &amp;&amp; data('",N268,"') &lt;= 100)")</f>
        <v>(data('q16304_15') &gt;= 0 &amp;&amp; data('q16304_15') &lt;= 100)</v>
      </c>
      <c r="W268" s="16" t="s">
        <v>1051</v>
      </c>
      <c r="X268" s="63" t="s">
        <v>441</v>
      </c>
      <c r="Y268" s="31" t="b">
        <v>1</v>
      </c>
    </row>
    <row r="269" spans="2:25" s="31" customFormat="1">
      <c r="H269" s="216"/>
      <c r="J269" s="88" t="s">
        <v>42</v>
      </c>
      <c r="K269" s="19"/>
      <c r="L269" s="19"/>
      <c r="O269" s="48"/>
      <c r="S269" s="181"/>
    </row>
    <row r="270" spans="2:25" s="31" customFormat="1">
      <c r="H270" s="216"/>
      <c r="J270" s="88" t="s">
        <v>51</v>
      </c>
      <c r="K270" s="19" t="str">
        <f>CONCATENATE("selected(data('",N262,"'),'1')")</f>
        <v>selected(data('q16301_15'),'1')</v>
      </c>
      <c r="L270" s="19"/>
      <c r="O270" s="48"/>
      <c r="S270" s="181"/>
    </row>
    <row r="271" spans="2:25" s="31" customFormat="1" ht="45">
      <c r="H271" s="216"/>
      <c r="J271" s="88"/>
      <c r="K271" s="19"/>
      <c r="L271" s="19" t="s">
        <v>18</v>
      </c>
      <c r="M271" s="31" t="s">
        <v>17</v>
      </c>
      <c r="N271" s="31" t="str">
        <f>CONCATENATE("q",$I$10, "_", A$28)</f>
        <v>q16305_15</v>
      </c>
      <c r="O271" s="312" t="str">
        <f>CONCATENATE(N271, ". ", SUBSTITUTE($E$10, "[item]",$E$28))</f>
        <v>q16305_15. هل استؤجر عربة صغيرة يدفعها شخص خلال الـ12 شهر الماضية؟</v>
      </c>
      <c r="P271" s="117" t="str">
        <f>CONCATENATE(N271, ". ", SUBSTITUTE($B$10, "[item]",$B$28))</f>
        <v>q16305_15. Was the small cart pulled by person rented out in the last 12 months?</v>
      </c>
      <c r="S271" s="181" t="str">
        <f>CONCATENATE(K263, " &amp;&amp; ", S262)</f>
        <v>selected(data('q16301_15'),'1') &amp;&amp; data('valid_overall') == 1</v>
      </c>
      <c r="Y271" s="31" t="b">
        <v>1</v>
      </c>
    </row>
    <row r="272" spans="2:25" s="31" customFormat="1">
      <c r="H272" s="216"/>
      <c r="J272" s="88" t="s">
        <v>42</v>
      </c>
      <c r="K272" s="19"/>
      <c r="L272" s="19"/>
      <c r="O272" s="312"/>
      <c r="P272" s="117"/>
      <c r="S272" s="181"/>
    </row>
    <row r="273" spans="2:25" s="31" customFormat="1">
      <c r="H273" s="216"/>
      <c r="J273" s="88" t="s">
        <v>23</v>
      </c>
      <c r="K273" s="19" t="str">
        <f>CONCATENATE("selected(data('",N271,"'),'1')&amp;&amp; ",K263)</f>
        <v>selected(data('q16305_15'),'1')&amp;&amp; selected(data('q16301_15'),'1')</v>
      </c>
      <c r="L273" s="19"/>
      <c r="O273" s="48"/>
      <c r="S273" s="181"/>
    </row>
    <row r="274" spans="2:25" s="31" customFormat="1" ht="75">
      <c r="H274" s="216"/>
      <c r="J274" s="92"/>
      <c r="K274" s="19"/>
      <c r="L274" s="19" t="s">
        <v>19</v>
      </c>
      <c r="N274" s="31" t="str">
        <f>CONCATENATE("q",$I$11, "_", A$28)</f>
        <v>q16306_15</v>
      </c>
      <c r="O274" s="312" t="str">
        <f>CONCATENATE(N274, ". ", SUBSTITUTE($E$11, "[item]",$E$28))</f>
        <v>q16306_15. كم كانت قيمة الإيجار (بالجنيه)؟</v>
      </c>
      <c r="P274" s="117" t="str">
        <f>CONCATENATE(N274, ". ", SUBSTITUTE($B$11, "[item]",$B$28))</f>
        <v>q16306_15. What was the value of the rental? (in pounds)</v>
      </c>
      <c r="Q274" s="31" t="str">
        <f>$F$11</f>
        <v>*في حالة لا أعرف سجل  999998</v>
      </c>
      <c r="R274" s="31" t="str">
        <f>$C$11</f>
        <v>*If don't know, write 999998</v>
      </c>
      <c r="S274" s="181" t="str">
        <f>CONCATENATE(K273, " &amp;&amp; ", S262)</f>
        <v>selected(data('q16305_15'),'1')&amp;&amp; selected(data('q16301_15'),'1') &amp;&amp; data('valid_overall') == 1</v>
      </c>
      <c r="Y274" s="31" t="b">
        <v>1</v>
      </c>
    </row>
    <row r="275" spans="2:25" s="31" customFormat="1">
      <c r="H275" s="216"/>
      <c r="J275" s="88" t="s">
        <v>42</v>
      </c>
      <c r="K275" s="19"/>
      <c r="L275" s="19"/>
      <c r="O275" s="48"/>
      <c r="S275" s="181"/>
    </row>
    <row r="276" spans="2:25" s="31" customFormat="1">
      <c r="H276" s="216"/>
      <c r="J276" s="405" t="s">
        <v>21</v>
      </c>
      <c r="K276" s="19"/>
      <c r="L276" s="19"/>
      <c r="O276" s="407"/>
      <c r="S276" s="181"/>
    </row>
    <row r="277" spans="2:25" s="31" customFormat="1">
      <c r="H277" s="216"/>
      <c r="J277" s="405" t="s">
        <v>20</v>
      </c>
      <c r="K277" s="19"/>
      <c r="L277" s="19"/>
      <c r="O277" s="407"/>
      <c r="S277" s="181"/>
    </row>
    <row r="278" spans="2:25" s="117" customFormat="1" ht="45">
      <c r="B278" s="168"/>
      <c r="C278" s="168"/>
      <c r="E278" s="168"/>
      <c r="F278" s="168"/>
      <c r="G278" s="168"/>
      <c r="H278" s="191"/>
      <c r="I278" s="168"/>
      <c r="J278" s="178"/>
      <c r="K278" s="54"/>
      <c r="L278" s="19" t="s">
        <v>18</v>
      </c>
      <c r="M278" s="31" t="s">
        <v>17</v>
      </c>
      <c r="N278" s="117" t="str">
        <f>CONCATENATE("q",$I$6, "_", A$29)</f>
        <v>q16301_16</v>
      </c>
      <c r="O278" s="312" t="str">
        <f>CONCATENATE(N278, ". ", SUBSTITUTE($E$6, "[item]",$E$29))</f>
        <v>q16301_16. هل تمتلك الأسرة أي ممتلكات من ماكينة تفريخ دجاج/بطارية أرانب؟</v>
      </c>
      <c r="P278" s="117" t="str">
        <f>CONCATENATE(N278, ". ", SUBSTITUTE($B$6, "[item]",$B$29))</f>
        <v xml:space="preserve">q16301_16. Does your household own any poultry battery? (Entirely or with sharing)   </v>
      </c>
      <c r="S278" s="117" t="s">
        <v>587</v>
      </c>
    </row>
    <row r="279" spans="2:25" s="31" customFormat="1">
      <c r="B279" s="161"/>
      <c r="C279" s="161"/>
      <c r="E279" s="161"/>
      <c r="F279" s="161"/>
      <c r="G279" s="161"/>
      <c r="H279" s="216"/>
      <c r="I279" s="161"/>
      <c r="J279" s="88" t="s">
        <v>51</v>
      </c>
      <c r="K279" s="19" t="str">
        <f>CONCATENATE("selected(data('",N278,"'),'1')")</f>
        <v>selected(data('q16301_16'),'1')</v>
      </c>
      <c r="L279" s="19"/>
      <c r="O279" s="312"/>
      <c r="P279" s="117"/>
      <c r="S279" s="181"/>
    </row>
    <row r="280" spans="2:25" s="31" customFormat="1" ht="45">
      <c r="H280" s="216"/>
      <c r="J280" s="92"/>
      <c r="K280" s="19"/>
      <c r="L280" s="19" t="s">
        <v>19</v>
      </c>
      <c r="N280" s="31" t="str">
        <f>CONCATENATE("q",$I$7, "_", A$29)</f>
        <v>q16302_16</v>
      </c>
      <c r="O280" s="312" t="str">
        <f>CONCATENATE(N280, ". ", SUBSTITUTE($E$7, "[item]",$E$29))</f>
        <v>q16302_16. كم ماكينة تفريخ دجاج/بطارية أرانب تمتلك الأسرة؟</v>
      </c>
      <c r="P280" s="117" t="str">
        <f>CONCATENATE(N280, ". ", SUBSTITUTE($B$7, "[item]",$B$29))</f>
        <v>q16302_16. How many poultry battery does your household own?</v>
      </c>
      <c r="Q280" s="2"/>
      <c r="R280" s="2"/>
      <c r="S280" s="181" t="str">
        <f>CONCATENATE(K279, " &amp;&amp; ", S278)</f>
        <v>selected(data('q16301_16'),'1') &amp;&amp; data('valid_overall') == 1</v>
      </c>
      <c r="T280" s="2"/>
      <c r="U280"/>
      <c r="V280"/>
      <c r="W280"/>
      <c r="X280"/>
      <c r="Y280" s="31" t="b">
        <v>1</v>
      </c>
    </row>
    <row r="281" spans="2:25" s="31" customFormat="1" ht="45">
      <c r="H281" s="216"/>
      <c r="J281" s="92"/>
      <c r="K281" s="19"/>
      <c r="L281" s="19" t="s">
        <v>18</v>
      </c>
      <c r="M281" s="31" t="s">
        <v>17</v>
      </c>
      <c r="N281" s="31" t="str">
        <f>CONCATENATE("q",$I$8, "_", A$29)</f>
        <v>q16303_16</v>
      </c>
      <c r="O281" s="312" t="str">
        <f>CONCATENATE(N281, ". ", SUBSTITUTE($E$8, "[item]",$E$29))</f>
        <v>q16303_16. هل تمتلك الأسرة ماكينة تفريخ دجاج/بطارية أرانب مشاركة مع أسر أخرى؟</v>
      </c>
      <c r="P281" s="117" t="str">
        <f>CONCATENATE(N281, ". ", SUBSTITUTE($B$8, "[item]",$B$29))</f>
        <v>q16303_16. Does your household own any poultry battery jointly with any other household?</v>
      </c>
      <c r="S281" s="181" t="str">
        <f>CONCATENATE(K279, " &amp;&amp; ", S278)</f>
        <v>selected(data('q16301_16'),'1') &amp;&amp; data('valid_overall') == 1</v>
      </c>
      <c r="Y281" s="31" t="b">
        <v>1</v>
      </c>
    </row>
    <row r="282" spans="2:25" s="31" customFormat="1">
      <c r="H282" s="216"/>
      <c r="J282" s="139" t="s">
        <v>42</v>
      </c>
      <c r="K282" s="18"/>
      <c r="L282" s="19"/>
      <c r="O282" s="312"/>
      <c r="P282" s="117"/>
      <c r="S282" s="9"/>
    </row>
    <row r="283" spans="2:25" s="31" customFormat="1">
      <c r="H283" s="216"/>
      <c r="J283" s="88" t="s">
        <v>51</v>
      </c>
      <c r="K283" s="19" t="str">
        <f>CONCATENATE("selected(data('",N281,"'),'1') &amp;&amp; ", K279)</f>
        <v>selected(data('q16303_16'),'1') &amp;&amp; selected(data('q16301_16'),'1')</v>
      </c>
      <c r="L283" s="19"/>
      <c r="O283" s="48"/>
      <c r="S283" s="181"/>
    </row>
    <row r="284" spans="2:25" s="31" customFormat="1" ht="90">
      <c r="H284" s="216"/>
      <c r="J284" s="433"/>
      <c r="K284" s="19"/>
      <c r="L284" s="19" t="s">
        <v>19</v>
      </c>
      <c r="N284" s="31" t="str">
        <f>CONCATENATE("q",$I$9, "_", A$29)</f>
        <v>q16304_16</v>
      </c>
      <c r="O284" s="312" t="str">
        <f>CONCATENATE(N284, ". ", SUBSTITUTE($E$9, "[item]",$E$29))</f>
        <v>q16304_16. ما نصيب الأسرة من ماكينة تفريخ دجاج/بطارية أرانب؟</v>
      </c>
      <c r="P284" s="117" t="str">
        <f>CONCATENATE(N284, ". ", SUBSTITUTE($B$9, "[item]",$B$29))</f>
        <v>q16304_16. What share of these poultry battery belong to your household?</v>
      </c>
      <c r="Q284" s="31" t="str">
        <f>$G$9</f>
        <v>سجل النسبة من 0-100. إذا كانت النسبة تختلف من سلعة لأخرى، سجل متوسط نصيب الاسرة.</v>
      </c>
      <c r="R284" s="31" t="str">
        <f>$D$9</f>
        <v>Answer as a percentage (0-100). *If share differs over items, record average share.</v>
      </c>
      <c r="S284" s="181" t="str">
        <f>CONCATENATE(,K283, " &amp;&amp; ",  S278)</f>
        <v>selected(data('q16303_16'),'1') &amp;&amp; selected(data('q16301_16'),'1') &amp;&amp; data('valid_overall') == 1</v>
      </c>
      <c r="V284" s="63" t="str">
        <f>CONCATENATE("(data('",N284,"') &gt;= 0 &amp;&amp; data('",N284,"') &lt;= 100)")</f>
        <v>(data('q16304_16') &gt;= 0 &amp;&amp; data('q16304_16') &lt;= 100)</v>
      </c>
      <c r="W284" s="16" t="s">
        <v>1051</v>
      </c>
      <c r="X284" s="63" t="s">
        <v>441</v>
      </c>
      <c r="Y284" s="31" t="b">
        <v>1</v>
      </c>
    </row>
    <row r="285" spans="2:25" s="31" customFormat="1">
      <c r="H285" s="216"/>
      <c r="J285" s="88" t="s">
        <v>42</v>
      </c>
      <c r="K285" s="19"/>
      <c r="L285" s="19"/>
      <c r="O285" s="48"/>
      <c r="S285" s="181"/>
    </row>
    <row r="286" spans="2:25" s="31" customFormat="1">
      <c r="H286" s="216"/>
      <c r="J286" s="88" t="s">
        <v>51</v>
      </c>
      <c r="K286" s="19" t="str">
        <f>CONCATENATE("selected(data('",N278,"'),'1')")</f>
        <v>selected(data('q16301_16'),'1')</v>
      </c>
      <c r="L286" s="19"/>
      <c r="O286" s="48"/>
      <c r="S286" s="181"/>
    </row>
    <row r="287" spans="2:25" s="31" customFormat="1" ht="45">
      <c r="H287" s="216"/>
      <c r="J287" s="88"/>
      <c r="K287" s="19"/>
      <c r="L287" s="19" t="s">
        <v>18</v>
      </c>
      <c r="M287" s="31" t="s">
        <v>17</v>
      </c>
      <c r="N287" s="31" t="str">
        <f>CONCATENATE("q",$I$10, "_", A$29)</f>
        <v>q16305_16</v>
      </c>
      <c r="O287" s="312" t="str">
        <f>CONCATENATE(N287, ". ", SUBSTITUTE($E$10, "[item]",$E$29))</f>
        <v>q16305_16. هل استؤجر ماكينة تفريخ دجاج/بطارية أرانب خلال الـ12 شهر الماضية؟</v>
      </c>
      <c r="P287" s="117" t="str">
        <f>CONCATENATE(N287, ". ", SUBSTITUTE($B$10, "[item]",$B$29))</f>
        <v>q16305_16. Was the poultry battery rented out in the last 12 months?</v>
      </c>
      <c r="S287" s="181" t="str">
        <f>CONCATENATE(K279, " &amp;&amp; ", S278)</f>
        <v>selected(data('q16301_16'),'1') &amp;&amp; data('valid_overall') == 1</v>
      </c>
      <c r="Y287" s="31" t="b">
        <v>1</v>
      </c>
    </row>
    <row r="288" spans="2:25" s="31" customFormat="1">
      <c r="H288" s="216"/>
      <c r="J288" s="88" t="s">
        <v>42</v>
      </c>
      <c r="K288" s="19"/>
      <c r="L288" s="19"/>
      <c r="O288" s="312"/>
      <c r="P288" s="117"/>
      <c r="S288" s="181"/>
    </row>
    <row r="289" spans="2:25" s="31" customFormat="1">
      <c r="H289" s="216"/>
      <c r="J289" s="88" t="s">
        <v>23</v>
      </c>
      <c r="K289" s="19" t="str">
        <f>CONCATENATE("selected(data('",N287,"'),'1')&amp;&amp; ",K279)</f>
        <v>selected(data('q16305_16'),'1')&amp;&amp; selected(data('q16301_16'),'1')</v>
      </c>
      <c r="L289" s="19"/>
      <c r="O289" s="48"/>
      <c r="S289" s="181"/>
    </row>
    <row r="290" spans="2:25" s="31" customFormat="1" ht="75">
      <c r="H290" s="216"/>
      <c r="J290" s="92"/>
      <c r="K290" s="19"/>
      <c r="L290" s="19" t="s">
        <v>19</v>
      </c>
      <c r="N290" s="31" t="str">
        <f>CONCATENATE("q",$I$11, "_", A$29)</f>
        <v>q16306_16</v>
      </c>
      <c r="O290" s="312" t="str">
        <f>CONCATENATE(N290, ". ", SUBSTITUTE($E$11, "[item]",$E$29))</f>
        <v>q16306_16. كم كانت قيمة الإيجار (بالجنيه)؟</v>
      </c>
      <c r="P290" s="117" t="str">
        <f>CONCATENATE(N290, ". ", SUBSTITUTE($B$11, "[item]",$B$29))</f>
        <v>q16306_16. What was the value of the rental? (in pounds)</v>
      </c>
      <c r="Q290" s="31" t="str">
        <f>$F$11</f>
        <v>*في حالة لا أعرف سجل  999998</v>
      </c>
      <c r="R290" s="31" t="str">
        <f>$C$11</f>
        <v>*If don't know, write 999998</v>
      </c>
      <c r="S290" s="181" t="str">
        <f>CONCATENATE(K289, " &amp;&amp; ", S278)</f>
        <v>selected(data('q16305_16'),'1')&amp;&amp; selected(data('q16301_16'),'1') &amp;&amp; data('valid_overall') == 1</v>
      </c>
      <c r="Y290" s="31" t="b">
        <v>1</v>
      </c>
    </row>
    <row r="291" spans="2:25" s="31" customFormat="1">
      <c r="H291" s="216"/>
      <c r="J291" s="88" t="s">
        <v>42</v>
      </c>
      <c r="K291" s="19"/>
      <c r="L291" s="19"/>
      <c r="O291" s="48"/>
      <c r="S291" s="181"/>
    </row>
    <row r="292" spans="2:25" s="31" customFormat="1">
      <c r="H292" s="216"/>
      <c r="J292" s="405" t="s">
        <v>21</v>
      </c>
      <c r="K292" s="19"/>
      <c r="L292" s="19"/>
      <c r="O292" s="407"/>
      <c r="S292" s="181"/>
    </row>
    <row r="293" spans="2:25" s="31" customFormat="1">
      <c r="H293" s="216"/>
      <c r="J293" s="405" t="s">
        <v>20</v>
      </c>
      <c r="K293" s="19"/>
      <c r="L293" s="19"/>
      <c r="O293" s="407"/>
      <c r="S293" s="181"/>
    </row>
    <row r="294" spans="2:25" s="117" customFormat="1" ht="45">
      <c r="B294" s="168"/>
      <c r="C294" s="168"/>
      <c r="E294" s="168"/>
      <c r="F294" s="168"/>
      <c r="G294" s="168"/>
      <c r="H294" s="191"/>
      <c r="I294" s="168"/>
      <c r="J294" s="54"/>
      <c r="K294" s="54"/>
      <c r="L294" s="19" t="s">
        <v>18</v>
      </c>
      <c r="M294" s="31" t="s">
        <v>17</v>
      </c>
      <c r="N294" s="117" t="str">
        <f>CONCATENATE("q",$I$6, "_", A$30)</f>
        <v>q16301_17</v>
      </c>
      <c r="O294" s="312" t="str">
        <f>CONCATENATE(N294, ". ", SUBSTITUTE($E$6, "[item]",$E$30))</f>
        <v>q16301_17. هل تمتلك الأسرة أي ممتلكات من بطارية منحل عسل؟</v>
      </c>
      <c r="P294" s="117" t="str">
        <f>CONCATENATE(N294, ". ", SUBSTITUTE($B$6, "[item]",$B$30))</f>
        <v xml:space="preserve">q16301_17. Does your household own any beehives? (Entirely or with sharing)   </v>
      </c>
      <c r="S294" s="117" t="s">
        <v>587</v>
      </c>
    </row>
    <row r="295" spans="2:25" s="31" customFormat="1">
      <c r="B295" s="161"/>
      <c r="C295" s="161"/>
      <c r="E295" s="161"/>
      <c r="F295" s="161"/>
      <c r="G295" s="161"/>
      <c r="H295" s="216"/>
      <c r="I295" s="161"/>
      <c r="J295" s="88" t="s">
        <v>51</v>
      </c>
      <c r="K295" s="19" t="str">
        <f>CONCATENATE("selected(data('",N294,"'),'1')")</f>
        <v>selected(data('q16301_17'),'1')</v>
      </c>
      <c r="L295" s="19"/>
      <c r="O295" s="312"/>
      <c r="P295" s="117"/>
      <c r="S295" s="181"/>
    </row>
    <row r="296" spans="2:25" s="31" customFormat="1" ht="45">
      <c r="H296" s="216"/>
      <c r="J296" s="92"/>
      <c r="K296" s="19"/>
      <c r="L296" s="19" t="s">
        <v>19</v>
      </c>
      <c r="N296" s="31" t="str">
        <f>CONCATENATE("q",$I$7, "_", A$30)</f>
        <v>q16302_17</v>
      </c>
      <c r="O296" s="312" t="str">
        <f>CONCATENATE(N296, ". ", SUBSTITUTE($E$7, "[item]",$E$30))</f>
        <v>q16302_17. كم بطارية منحل عسل تمتلك الأسرة؟</v>
      </c>
      <c r="P296" s="117" t="str">
        <f>CONCATENATE(N296, ". ", SUBSTITUTE($B$7, "[item]",$B$30))</f>
        <v>q16302_17. How many beehives does your household own?</v>
      </c>
      <c r="Q296" s="2"/>
      <c r="R296" s="2"/>
      <c r="S296" s="181" t="str">
        <f>CONCATENATE(K295, " &amp;&amp; ", S294)</f>
        <v>selected(data('q16301_17'),'1') &amp;&amp; data('valid_overall') == 1</v>
      </c>
      <c r="T296" s="2"/>
      <c r="U296"/>
      <c r="V296"/>
      <c r="W296"/>
      <c r="X296"/>
      <c r="Y296" s="31" t="b">
        <v>1</v>
      </c>
    </row>
    <row r="297" spans="2:25" s="31" customFormat="1" ht="45">
      <c r="H297" s="216"/>
      <c r="J297" s="92"/>
      <c r="K297" s="19"/>
      <c r="L297" s="19" t="s">
        <v>18</v>
      </c>
      <c r="M297" s="31" t="s">
        <v>17</v>
      </c>
      <c r="N297" s="31" t="str">
        <f>CONCATENATE("q",$I$8, "_", A$30)</f>
        <v>q16303_17</v>
      </c>
      <c r="O297" s="312" t="str">
        <f>CONCATENATE(N297, ". ", SUBSTITUTE($E$8, "[item]",$E$30))</f>
        <v>q16303_17. هل تمتلك الأسرة بطارية منحل عسل مشاركة مع أسر أخرى؟</v>
      </c>
      <c r="P297" s="117" t="str">
        <f>CONCATENATE(N297, ". ", SUBSTITUTE($B$8, "[item]",$B$30))</f>
        <v>q16303_17. Does your household own any beehives jointly with any other household?</v>
      </c>
      <c r="S297" s="181" t="str">
        <f>CONCATENATE(K295, " &amp;&amp; ", S294)</f>
        <v>selected(data('q16301_17'),'1') &amp;&amp; data('valid_overall') == 1</v>
      </c>
      <c r="Y297" s="31" t="b">
        <v>1</v>
      </c>
    </row>
    <row r="298" spans="2:25" s="31" customFormat="1">
      <c r="H298" s="216"/>
      <c r="J298" s="139" t="s">
        <v>42</v>
      </c>
      <c r="K298" s="18"/>
      <c r="L298" s="19"/>
      <c r="O298" s="312"/>
      <c r="P298" s="117"/>
      <c r="S298" s="9"/>
    </row>
    <row r="299" spans="2:25" s="31" customFormat="1">
      <c r="H299" s="216"/>
      <c r="J299" s="88" t="s">
        <v>51</v>
      </c>
      <c r="K299" s="19" t="str">
        <f>CONCATENATE("selected(data('",N297,"'),'1') &amp;&amp; ", K295)</f>
        <v>selected(data('q16303_17'),'1') &amp;&amp; selected(data('q16301_17'),'1')</v>
      </c>
      <c r="L299" s="19"/>
      <c r="O299" s="48"/>
      <c r="S299" s="181"/>
    </row>
    <row r="300" spans="2:25" s="31" customFormat="1" ht="90">
      <c r="H300" s="216"/>
      <c r="J300" s="433"/>
      <c r="K300" s="19"/>
      <c r="L300" s="19" t="s">
        <v>19</v>
      </c>
      <c r="N300" s="31" t="str">
        <f>CONCATENATE("q",$I$9, "_", A$30)</f>
        <v>q16304_17</v>
      </c>
      <c r="O300" s="312" t="str">
        <f>CONCATENATE(N300, ". ", SUBSTITUTE($E$9, "[item]",$E$30))</f>
        <v>q16304_17. ما نصيب الأسرة من بطارية منحل عسل؟</v>
      </c>
      <c r="P300" s="117" t="str">
        <f>CONCATENATE(N300, ". ", SUBSTITUTE($B$9, "[item]",$B$30))</f>
        <v>q16304_17. What share of these beehives belong to your household?</v>
      </c>
      <c r="Q300" s="31" t="str">
        <f>$G$9</f>
        <v>سجل النسبة من 0-100. إذا كانت النسبة تختلف من سلعة لأخرى، سجل متوسط نصيب الاسرة.</v>
      </c>
      <c r="R300" s="31" t="str">
        <f>$D$9</f>
        <v>Answer as a percentage (0-100). *If share differs over items, record average share.</v>
      </c>
      <c r="S300" s="181" t="str">
        <f>CONCATENATE(,K299, " &amp;&amp; ",  S294)</f>
        <v>selected(data('q16303_17'),'1') &amp;&amp; selected(data('q16301_17'),'1') &amp;&amp; data('valid_overall') == 1</v>
      </c>
      <c r="V300" s="63" t="str">
        <f>CONCATENATE("(data('",N300,"') &gt;= 0 &amp;&amp; data('",N300,"') &lt;= 100)")</f>
        <v>(data('q16304_17') &gt;= 0 &amp;&amp; data('q16304_17') &lt;= 100)</v>
      </c>
      <c r="W300" s="16" t="s">
        <v>1051</v>
      </c>
      <c r="X300" s="63" t="s">
        <v>441</v>
      </c>
      <c r="Y300" s="31" t="b">
        <v>1</v>
      </c>
    </row>
    <row r="301" spans="2:25" s="31" customFormat="1">
      <c r="H301" s="216"/>
      <c r="J301" s="88" t="s">
        <v>42</v>
      </c>
      <c r="K301" s="19"/>
      <c r="L301" s="19"/>
      <c r="O301" s="48"/>
      <c r="S301" s="181"/>
    </row>
    <row r="302" spans="2:25" s="31" customFormat="1">
      <c r="H302" s="216"/>
      <c r="J302" s="88" t="s">
        <v>51</v>
      </c>
      <c r="K302" s="19" t="str">
        <f>CONCATENATE("selected(data('",N294,"'),'1')")</f>
        <v>selected(data('q16301_17'),'1')</v>
      </c>
      <c r="L302" s="19"/>
      <c r="O302" s="48"/>
      <c r="S302" s="181"/>
    </row>
    <row r="303" spans="2:25" s="31" customFormat="1" ht="45">
      <c r="H303" s="216"/>
      <c r="J303" s="88"/>
      <c r="K303" s="19"/>
      <c r="L303" s="19" t="s">
        <v>18</v>
      </c>
      <c r="M303" s="31" t="s">
        <v>17</v>
      </c>
      <c r="N303" s="31" t="str">
        <f>CONCATENATE("q",$I$10, "_", A$30)</f>
        <v>q16305_17</v>
      </c>
      <c r="O303" s="312" t="str">
        <f>CONCATENATE(N303, ". ", SUBSTITUTE($E$10, "[item]",$E$30))</f>
        <v>q16305_17. هل استؤجر بطارية منحل عسل خلال الـ12 شهر الماضية؟</v>
      </c>
      <c r="P303" s="117" t="str">
        <f>CONCATENATE(N303, ". ", SUBSTITUTE($B$10, "[item]",$B$30))</f>
        <v>q16305_17. Was the beehives rented out in the last 12 months?</v>
      </c>
      <c r="S303" s="181" t="str">
        <f>CONCATENATE(K295, " &amp;&amp; ", S294)</f>
        <v>selected(data('q16301_17'),'1') &amp;&amp; data('valid_overall') == 1</v>
      </c>
      <c r="Y303" s="31" t="b">
        <v>1</v>
      </c>
    </row>
    <row r="304" spans="2:25" s="31" customFormat="1">
      <c r="H304" s="216"/>
      <c r="J304" s="88" t="s">
        <v>42</v>
      </c>
      <c r="K304" s="19"/>
      <c r="L304" s="19"/>
      <c r="O304" s="312"/>
      <c r="P304" s="117"/>
      <c r="S304" s="181"/>
    </row>
    <row r="305" spans="2:25" s="31" customFormat="1">
      <c r="H305" s="216"/>
      <c r="J305" s="88" t="s">
        <v>23</v>
      </c>
      <c r="K305" s="19" t="str">
        <f>CONCATENATE("selected(data('",N303,"'),'1')&amp;&amp; ",K295)</f>
        <v>selected(data('q16305_17'),'1')&amp;&amp; selected(data('q16301_17'),'1')</v>
      </c>
      <c r="L305" s="19"/>
      <c r="O305" s="48"/>
      <c r="S305" s="181"/>
    </row>
    <row r="306" spans="2:25" s="31" customFormat="1" ht="75">
      <c r="H306" s="216"/>
      <c r="J306" s="92"/>
      <c r="K306" s="19"/>
      <c r="L306" s="19" t="s">
        <v>19</v>
      </c>
      <c r="N306" s="31" t="str">
        <f>CONCATENATE("q",$I$11, "_", A$30)</f>
        <v>q16306_17</v>
      </c>
      <c r="O306" s="312" t="str">
        <f>CONCATENATE(N306, ". ", SUBSTITUTE($E$11, "[item]",$E$30))</f>
        <v>q16306_17. كم كانت قيمة الإيجار (بالجنيه)؟</v>
      </c>
      <c r="P306" s="117" t="str">
        <f>CONCATENATE(N306, ". ", SUBSTITUTE($B$11, "[item]",$B$30))</f>
        <v>q16306_17. What was the value of the rental? (in pounds)</v>
      </c>
      <c r="Q306" s="31" t="str">
        <f>$F$11</f>
        <v>*في حالة لا أعرف سجل  999998</v>
      </c>
      <c r="R306" s="31" t="str">
        <f>$C$11</f>
        <v>*If don't know, write 999998</v>
      </c>
      <c r="S306" s="181" t="str">
        <f>CONCATENATE(K305, " &amp;&amp; ", S294)</f>
        <v>selected(data('q16305_17'),'1')&amp;&amp; selected(data('q16301_17'),'1') &amp;&amp; data('valid_overall') == 1</v>
      </c>
      <c r="Y306" s="31" t="b">
        <v>1</v>
      </c>
    </row>
    <row r="307" spans="2:25" s="31" customFormat="1">
      <c r="H307" s="216"/>
      <c r="J307" s="88" t="s">
        <v>42</v>
      </c>
      <c r="K307" s="19"/>
      <c r="L307" s="19"/>
      <c r="O307" s="48"/>
      <c r="S307" s="181"/>
    </row>
    <row r="308" spans="2:25" s="31" customFormat="1">
      <c r="H308" s="216"/>
      <c r="J308" s="405" t="s">
        <v>21</v>
      </c>
      <c r="K308" s="19"/>
      <c r="L308" s="19"/>
      <c r="O308" s="407"/>
      <c r="S308" s="181"/>
    </row>
    <row r="309" spans="2:25" s="31" customFormat="1">
      <c r="H309" s="216"/>
      <c r="J309" s="405" t="s">
        <v>20</v>
      </c>
      <c r="K309" s="19"/>
      <c r="L309" s="19"/>
      <c r="O309" s="407"/>
      <c r="S309" s="181"/>
    </row>
    <row r="310" spans="2:25" s="117" customFormat="1" ht="45">
      <c r="B310" s="168"/>
      <c r="C310" s="168"/>
      <c r="E310" s="168"/>
      <c r="F310" s="168"/>
      <c r="G310" s="168"/>
      <c r="H310" s="191"/>
      <c r="I310" s="168"/>
      <c r="J310" s="176"/>
      <c r="K310" s="54"/>
      <c r="L310" s="19" t="s">
        <v>18</v>
      </c>
      <c r="M310" s="31" t="s">
        <v>17</v>
      </c>
      <c r="N310" s="117" t="str">
        <f>CONCATENATE("q",$I$6, "_", A$31)</f>
        <v>q16301_18</v>
      </c>
      <c r="O310" s="312" t="str">
        <f>CONCATENATE(N310, ". ", SUBSTITUTE($E$6, "[item]",$E$31))</f>
        <v>q16301_18. هل تمتلك الأسرة أي ممتلكات من اثاث مكتبي؟</v>
      </c>
      <c r="P310" s="117" t="str">
        <f>CONCATENATE(N310, ". ", SUBSTITUTE($B$6, "[item]",$B$31))</f>
        <v xml:space="preserve">q16301_18. Does your household own any office furniture? (Entirely or with sharing)   </v>
      </c>
      <c r="S310" s="117" t="s">
        <v>587</v>
      </c>
    </row>
    <row r="311" spans="2:25" s="31" customFormat="1">
      <c r="B311" s="161"/>
      <c r="C311" s="161"/>
      <c r="E311" s="161"/>
      <c r="F311" s="161"/>
      <c r="G311" s="161"/>
      <c r="H311" s="216"/>
      <c r="I311" s="161"/>
      <c r="J311" s="66" t="s">
        <v>51</v>
      </c>
      <c r="K311" s="19" t="str">
        <f>CONCATENATE("selected(data('",N310,"'),'1')")</f>
        <v>selected(data('q16301_18'),'1')</v>
      </c>
      <c r="L311" s="19"/>
      <c r="O311" s="312"/>
      <c r="P311" s="117"/>
      <c r="S311" s="181"/>
    </row>
    <row r="312" spans="2:25" s="31" customFormat="1" ht="45">
      <c r="H312" s="216"/>
      <c r="J312" s="92"/>
      <c r="K312" s="19"/>
      <c r="L312" s="19" t="s">
        <v>19</v>
      </c>
      <c r="N312" s="31" t="str">
        <f>CONCATENATE("q",$I$7, "_", A$31)</f>
        <v>q16302_18</v>
      </c>
      <c r="O312" s="312" t="str">
        <f>CONCATENATE(N312, ". ", SUBSTITUTE($E$7, "[item]",$E$31))</f>
        <v>q16302_18. كم اثاث مكتبي تمتلك الأسرة؟</v>
      </c>
      <c r="P312" s="117" t="str">
        <f>CONCATENATE(N312, ". ", SUBSTITUTE($B$7, "[item]",$B$31))</f>
        <v>q16302_18. How many office furniture does your household own?</v>
      </c>
      <c r="Q312" s="2"/>
      <c r="R312" s="2"/>
      <c r="S312" s="181" t="str">
        <f>CONCATENATE(K311, " &amp;&amp; ", S310)</f>
        <v>selected(data('q16301_18'),'1') &amp;&amp; data('valid_overall') == 1</v>
      </c>
      <c r="T312" s="2"/>
      <c r="U312"/>
      <c r="V312"/>
      <c r="W312"/>
      <c r="X312"/>
      <c r="Y312" s="31" t="b">
        <v>1</v>
      </c>
    </row>
    <row r="313" spans="2:25" s="31" customFormat="1" ht="45">
      <c r="H313" s="216"/>
      <c r="J313" s="92"/>
      <c r="K313" s="19"/>
      <c r="L313" s="19" t="s">
        <v>18</v>
      </c>
      <c r="M313" s="31" t="s">
        <v>17</v>
      </c>
      <c r="N313" s="31" t="str">
        <f>CONCATENATE("q",$I$8, "_", A$31)</f>
        <v>q16303_18</v>
      </c>
      <c r="O313" s="312" t="str">
        <f>CONCATENATE(N313, ". ", SUBSTITUTE($E$8, "[item]",$E$31))</f>
        <v>q16303_18. هل تمتلك الأسرة اثاث مكتبي مشاركة مع أسر أخرى؟</v>
      </c>
      <c r="P313" s="117" t="str">
        <f>CONCATENATE(N313, ". ", SUBSTITUTE($B$8, "[item]",$B$31))</f>
        <v>q16303_18. Does your household own any office furniture jointly with any other household?</v>
      </c>
      <c r="S313" s="181" t="str">
        <f>CONCATENATE(K311, " &amp;&amp; ", S310)</f>
        <v>selected(data('q16301_18'),'1') &amp;&amp; data('valid_overall') == 1</v>
      </c>
      <c r="Y313" s="31" t="b">
        <v>1</v>
      </c>
    </row>
    <row r="314" spans="2:25" s="31" customFormat="1">
      <c r="H314" s="216"/>
      <c r="J314" s="139" t="s">
        <v>42</v>
      </c>
      <c r="K314" s="18"/>
      <c r="L314" s="19"/>
      <c r="O314" s="312"/>
      <c r="P314" s="117"/>
      <c r="S314" s="404"/>
    </row>
    <row r="315" spans="2:25" s="31" customFormat="1">
      <c r="H315" s="216"/>
      <c r="J315" s="88" t="s">
        <v>51</v>
      </c>
      <c r="K315" s="19" t="str">
        <f>CONCATENATE("selected(data('",N313,"'),'1') &amp;&amp; ", K311)</f>
        <v>selected(data('q16303_18'),'1') &amp;&amp; selected(data('q16301_18'),'1')</v>
      </c>
      <c r="L315" s="19"/>
      <c r="O315" s="407"/>
      <c r="S315" s="181"/>
    </row>
    <row r="316" spans="2:25" s="31" customFormat="1" ht="90">
      <c r="H316" s="216"/>
      <c r="J316" s="433"/>
      <c r="K316" s="19"/>
      <c r="L316" s="19" t="s">
        <v>19</v>
      </c>
      <c r="N316" s="31" t="str">
        <f>CONCATENATE("q",$I$9, "_", A$31)</f>
        <v>q16304_18</v>
      </c>
      <c r="O316" s="312" t="str">
        <f>CONCATENATE(N316, ". ", SUBSTITUTE($E$9, "[item]",$E$31))</f>
        <v>q16304_18. ما نصيب الأسرة من اثاث مكتبي؟</v>
      </c>
      <c r="P316" s="117" t="str">
        <f>CONCATENATE(N316, ". ", SUBSTITUTE($B$9, "[item]",$B$31))</f>
        <v>q16304_18. What share of these office furniture belong to your household?</v>
      </c>
      <c r="Q316" s="31" t="str">
        <f>$G$9</f>
        <v>سجل النسبة من 0-100. إذا كانت النسبة تختلف من سلعة لأخرى، سجل متوسط نصيب الاسرة.</v>
      </c>
      <c r="R316" s="31" t="str">
        <f>$D$9</f>
        <v>Answer as a percentage (0-100). *If share differs over items, record average share.</v>
      </c>
      <c r="S316" s="181" t="str">
        <f>CONCATENATE(,K315, " &amp;&amp; ",  S310)</f>
        <v>selected(data('q16303_18'),'1') &amp;&amp; selected(data('q16301_18'),'1') &amp;&amp; data('valid_overall') == 1</v>
      </c>
      <c r="V316" s="63" t="str">
        <f>CONCATENATE("(data('",N316,"') &gt;= 0 &amp;&amp; data('",N316,"') &lt;= 100)")</f>
        <v>(data('q16304_18') &gt;= 0 &amp;&amp; data('q16304_18') &lt;= 100)</v>
      </c>
      <c r="W316" s="16" t="s">
        <v>1051</v>
      </c>
      <c r="X316" s="63" t="s">
        <v>441</v>
      </c>
      <c r="Y316" s="31" t="b">
        <v>1</v>
      </c>
    </row>
    <row r="317" spans="2:25" s="31" customFormat="1">
      <c r="H317" s="216"/>
      <c r="J317" s="88" t="s">
        <v>42</v>
      </c>
      <c r="K317" s="19"/>
      <c r="L317" s="19"/>
      <c r="O317" s="407"/>
      <c r="S317" s="181"/>
    </row>
    <row r="318" spans="2:25" s="31" customFormat="1">
      <c r="H318" s="216"/>
      <c r="J318" s="88" t="s">
        <v>51</v>
      </c>
      <c r="K318" s="19" t="str">
        <f>CONCATENATE("selected(data('",N310,"'),'1')")</f>
        <v>selected(data('q16301_18'),'1')</v>
      </c>
      <c r="L318" s="19"/>
      <c r="O318" s="407"/>
      <c r="S318" s="181"/>
    </row>
    <row r="319" spans="2:25" s="31" customFormat="1" ht="45">
      <c r="H319" s="216"/>
      <c r="J319" s="88"/>
      <c r="K319" s="19"/>
      <c r="L319" s="19" t="s">
        <v>18</v>
      </c>
      <c r="M319" s="31" t="s">
        <v>17</v>
      </c>
      <c r="N319" s="31" t="str">
        <f>CONCATENATE("q",$I$10, "_", A$31)</f>
        <v>q16305_18</v>
      </c>
      <c r="O319" s="312" t="str">
        <f>CONCATENATE(N319, ". ", SUBSTITUTE($E$10, "[item]",$E$31))</f>
        <v>q16305_18. هل استؤجر اثاث مكتبي خلال الـ12 شهر الماضية؟</v>
      </c>
      <c r="P319" s="117" t="str">
        <f>CONCATENATE(N319, ". ", SUBSTITUTE($B$10, "[item]",$B$31))</f>
        <v>q16305_18. Was the office furniture rented out in the last 12 months?</v>
      </c>
      <c r="S319" s="181" t="str">
        <f>CONCATENATE(K311, " &amp;&amp; ", S310)</f>
        <v>selected(data('q16301_18'),'1') &amp;&amp; data('valid_overall') == 1</v>
      </c>
      <c r="Y319" s="31" t="b">
        <v>1</v>
      </c>
    </row>
    <row r="320" spans="2:25" s="31" customFormat="1">
      <c r="H320" s="216"/>
      <c r="J320" s="88" t="s">
        <v>42</v>
      </c>
      <c r="K320" s="19"/>
      <c r="L320" s="19"/>
      <c r="O320" s="312"/>
      <c r="P320" s="117"/>
      <c r="S320" s="181"/>
    </row>
    <row r="321" spans="2:25" s="31" customFormat="1">
      <c r="H321" s="216"/>
      <c r="J321" s="88" t="s">
        <v>23</v>
      </c>
      <c r="K321" s="19" t="str">
        <f>CONCATENATE("selected(data('",N319,"'),'1')&amp;&amp; ",K311)</f>
        <v>selected(data('q16305_18'),'1')&amp;&amp; selected(data('q16301_18'),'1')</v>
      </c>
      <c r="L321" s="19"/>
      <c r="O321" s="407"/>
      <c r="S321" s="181"/>
    </row>
    <row r="322" spans="2:25" s="31" customFormat="1" ht="75">
      <c r="H322" s="216"/>
      <c r="J322" s="92"/>
      <c r="K322" s="19"/>
      <c r="L322" s="19" t="s">
        <v>19</v>
      </c>
      <c r="N322" s="31" t="str">
        <f>CONCATENATE("q",$I$11, "_", A$31)</f>
        <v>q16306_18</v>
      </c>
      <c r="O322" s="312" t="str">
        <f>CONCATENATE(N322, ". ", SUBSTITUTE($E$11, "[item]",$E$31))</f>
        <v>q16306_18. كم كانت قيمة الإيجار (بالجنيه)؟</v>
      </c>
      <c r="P322" s="117" t="str">
        <f>CONCATENATE(N322, ". ", SUBSTITUTE($B$11, "[item]",$B$31))</f>
        <v>q16306_18. What was the value of the rental? (in pounds)</v>
      </c>
      <c r="Q322" s="31" t="str">
        <f>$F$11</f>
        <v>*في حالة لا أعرف سجل  999998</v>
      </c>
      <c r="R322" s="31" t="str">
        <f>$C$11</f>
        <v>*If don't know, write 999998</v>
      </c>
      <c r="S322" s="181" t="str">
        <f>CONCATENATE(K321, " &amp;&amp; ", S310)</f>
        <v>selected(data('q16305_18'),'1')&amp;&amp; selected(data('q16301_18'),'1') &amp;&amp; data('valid_overall') == 1</v>
      </c>
      <c r="Y322" s="31" t="b">
        <v>1</v>
      </c>
    </row>
    <row r="323" spans="2:25" s="31" customFormat="1">
      <c r="H323" s="216"/>
      <c r="J323" s="88" t="s">
        <v>42</v>
      </c>
      <c r="K323" s="19"/>
      <c r="L323" s="19"/>
      <c r="O323" s="407"/>
      <c r="S323" s="181"/>
    </row>
    <row r="324" spans="2:25" s="31" customFormat="1">
      <c r="H324" s="216"/>
      <c r="J324" s="405" t="s">
        <v>21</v>
      </c>
      <c r="K324" s="19"/>
      <c r="L324" s="19"/>
      <c r="O324" s="407"/>
      <c r="S324" s="181"/>
    </row>
    <row r="325" spans="2:25" s="31" customFormat="1">
      <c r="H325" s="216"/>
      <c r="J325" s="405" t="s">
        <v>20</v>
      </c>
      <c r="K325" s="19"/>
      <c r="L325" s="19"/>
      <c r="O325" s="407"/>
      <c r="S325" s="181"/>
    </row>
    <row r="326" spans="2:25" s="117" customFormat="1" ht="45">
      <c r="B326" s="168"/>
      <c r="C326" s="168"/>
      <c r="E326" s="168"/>
      <c r="F326" s="168"/>
      <c r="G326" s="168"/>
      <c r="H326" s="191"/>
      <c r="I326" s="168"/>
      <c r="J326" s="176"/>
      <c r="K326" s="54"/>
      <c r="L326" s="19" t="s">
        <v>18</v>
      </c>
      <c r="M326" s="31" t="s">
        <v>17</v>
      </c>
      <c r="N326" s="117" t="str">
        <f>CONCATENATE("q",$I$6, "_", A$32)</f>
        <v>q16301_19</v>
      </c>
      <c r="O326" s="312" t="str">
        <f>CONCATENATE(N326, ". ", SUBSTITUTE($E$6, "[item]",$E$32))</f>
        <v>q16301_19. هل تمتلك الأسرة أي ممتلكات من مركب/قارب؟</v>
      </c>
      <c r="P326" s="117" t="str">
        <f>CONCATENATE(N326, ". ", SUBSTITUTE($B$6, "[item]",$B$32))</f>
        <v xml:space="preserve">q16301_19. Does your household own any boat? (Entirely or with sharing)   </v>
      </c>
      <c r="S326" s="117" t="s">
        <v>587</v>
      </c>
    </row>
    <row r="327" spans="2:25" s="31" customFormat="1">
      <c r="B327" s="161"/>
      <c r="C327" s="161"/>
      <c r="E327" s="161"/>
      <c r="F327" s="161"/>
      <c r="G327" s="161"/>
      <c r="H327" s="216"/>
      <c r="I327" s="161"/>
      <c r="J327" s="66" t="s">
        <v>51</v>
      </c>
      <c r="K327" s="19" t="str">
        <f>CONCATENATE("selected(data('",N326,"'),'1')")</f>
        <v>selected(data('q16301_19'),'1')</v>
      </c>
      <c r="L327" s="19"/>
      <c r="O327" s="312"/>
      <c r="P327" s="117"/>
      <c r="S327" s="181"/>
    </row>
    <row r="328" spans="2:25" s="31" customFormat="1" ht="45">
      <c r="H328" s="216"/>
      <c r="J328" s="92"/>
      <c r="K328" s="19"/>
      <c r="L328" s="19" t="s">
        <v>19</v>
      </c>
      <c r="N328" s="31" t="str">
        <f>CONCATENATE("q",$I$7, "_", A$32)</f>
        <v>q16302_19</v>
      </c>
      <c r="O328" s="312" t="str">
        <f>CONCATENATE(N328, ". ", SUBSTITUTE($E$7, "[item]",$E$32))</f>
        <v>q16302_19. كم مركب/قارب تمتلك الأسرة؟</v>
      </c>
      <c r="P328" s="117" t="str">
        <f>CONCATENATE(N328, ". ", SUBSTITUTE($B$7, "[item]",$B$32))</f>
        <v>q16302_19. How many boat does your household own?</v>
      </c>
      <c r="Q328" s="2"/>
      <c r="R328" s="2"/>
      <c r="S328" s="181" t="str">
        <f>CONCATENATE(K327, " &amp;&amp; ", S326)</f>
        <v>selected(data('q16301_19'),'1') &amp;&amp; data('valid_overall') == 1</v>
      </c>
      <c r="T328" s="2"/>
      <c r="U328"/>
      <c r="V328"/>
      <c r="W328"/>
      <c r="X328"/>
      <c r="Y328" s="31" t="b">
        <v>1</v>
      </c>
    </row>
    <row r="329" spans="2:25" s="31" customFormat="1" ht="45">
      <c r="H329" s="216"/>
      <c r="J329" s="92"/>
      <c r="K329" s="19"/>
      <c r="L329" s="19" t="s">
        <v>18</v>
      </c>
      <c r="M329" s="31" t="s">
        <v>17</v>
      </c>
      <c r="N329" s="31" t="str">
        <f>CONCATENATE("q",$I$8, "_", A$32)</f>
        <v>q16303_19</v>
      </c>
      <c r="O329" s="312" t="str">
        <f>CONCATENATE(N329, ". ", SUBSTITUTE($E$8, "[item]",$E$32))</f>
        <v>q16303_19. هل تمتلك الأسرة مركب/قارب مشاركة مع أسر أخرى؟</v>
      </c>
      <c r="P329" s="117" t="str">
        <f>CONCATENATE(N329, ". ", SUBSTITUTE($B$8, "[item]",$B$32))</f>
        <v>q16303_19. Does your household own any boat jointly with any other household?</v>
      </c>
      <c r="S329" s="181" t="str">
        <f>CONCATENATE(K327, " &amp;&amp; ", S326)</f>
        <v>selected(data('q16301_19'),'1') &amp;&amp; data('valid_overall') == 1</v>
      </c>
      <c r="Y329" s="31" t="b">
        <v>1</v>
      </c>
    </row>
    <row r="330" spans="2:25" s="31" customFormat="1">
      <c r="H330" s="216"/>
      <c r="J330" s="139" t="s">
        <v>42</v>
      </c>
      <c r="K330" s="18"/>
      <c r="L330" s="19"/>
      <c r="O330" s="312"/>
      <c r="P330" s="117"/>
      <c r="S330" s="404"/>
    </row>
    <row r="331" spans="2:25" s="31" customFormat="1">
      <c r="H331" s="216"/>
      <c r="J331" s="88" t="s">
        <v>51</v>
      </c>
      <c r="K331" s="19" t="str">
        <f>CONCATENATE("selected(data('",N329,"'),'1') &amp;&amp; ", K327)</f>
        <v>selected(data('q16303_19'),'1') &amp;&amp; selected(data('q16301_19'),'1')</v>
      </c>
      <c r="L331" s="19"/>
      <c r="O331" s="407"/>
      <c r="S331" s="181"/>
    </row>
    <row r="332" spans="2:25" s="31" customFormat="1" ht="90">
      <c r="H332" s="216"/>
      <c r="J332" s="433"/>
      <c r="K332" s="19"/>
      <c r="L332" s="19" t="s">
        <v>19</v>
      </c>
      <c r="N332" s="31" t="str">
        <f>CONCATENATE("q",$I$9, "_", A$32)</f>
        <v>q16304_19</v>
      </c>
      <c r="O332" s="312" t="str">
        <f>CONCATENATE(N332, ". ", SUBSTITUTE($E$9, "[item]",$E$32))</f>
        <v>q16304_19. ما نصيب الأسرة من مركب/قارب؟</v>
      </c>
      <c r="P332" s="117" t="str">
        <f>CONCATENATE(N332, ". ", SUBSTITUTE($B$9, "[item]",$B$32))</f>
        <v>q16304_19. What share of these boat belong to your household?</v>
      </c>
      <c r="Q332" s="31" t="str">
        <f>$G$9</f>
        <v>سجل النسبة من 0-100. إذا كانت النسبة تختلف من سلعة لأخرى، سجل متوسط نصيب الاسرة.</v>
      </c>
      <c r="R332" s="31" t="str">
        <f>$D$9</f>
        <v>Answer as a percentage (0-100). *If share differs over items, record average share.</v>
      </c>
      <c r="S332" s="181" t="str">
        <f>CONCATENATE(,K331, " &amp;&amp; ",  S326)</f>
        <v>selected(data('q16303_19'),'1') &amp;&amp; selected(data('q16301_19'),'1') &amp;&amp; data('valid_overall') == 1</v>
      </c>
      <c r="V332" s="63" t="str">
        <f>CONCATENATE("(data('",N332,"') &gt;= 0 &amp;&amp; data('",N332,"') &lt;= 100)")</f>
        <v>(data('q16304_19') &gt;= 0 &amp;&amp; data('q16304_19') &lt;= 100)</v>
      </c>
      <c r="W332" s="16" t="s">
        <v>1051</v>
      </c>
      <c r="X332" s="63" t="s">
        <v>441</v>
      </c>
      <c r="Y332" s="31" t="b">
        <v>1</v>
      </c>
    </row>
    <row r="333" spans="2:25" s="31" customFormat="1">
      <c r="H333" s="216"/>
      <c r="J333" s="88" t="s">
        <v>42</v>
      </c>
      <c r="K333" s="19"/>
      <c r="L333" s="19"/>
      <c r="O333" s="407"/>
      <c r="S333" s="181"/>
    </row>
    <row r="334" spans="2:25" s="31" customFormat="1">
      <c r="H334" s="216"/>
      <c r="J334" s="88" t="s">
        <v>51</v>
      </c>
      <c r="K334" s="19" t="str">
        <f>CONCATENATE("selected(data('",N326,"'),'1')")</f>
        <v>selected(data('q16301_19'),'1')</v>
      </c>
      <c r="L334" s="19"/>
      <c r="O334" s="407"/>
      <c r="S334" s="181"/>
    </row>
    <row r="335" spans="2:25" s="31" customFormat="1" ht="45">
      <c r="H335" s="216"/>
      <c r="J335" s="88"/>
      <c r="K335" s="19"/>
      <c r="L335" s="19" t="s">
        <v>18</v>
      </c>
      <c r="M335" s="31" t="s">
        <v>17</v>
      </c>
      <c r="N335" s="31" t="str">
        <f>CONCATENATE("q",$I$10, "_", A$32)</f>
        <v>q16305_19</v>
      </c>
      <c r="O335" s="312" t="str">
        <f>CONCATENATE(N335, ". ", SUBSTITUTE($E$10, "[item]",$E$32))</f>
        <v>q16305_19. هل استؤجر مركب/قارب خلال الـ12 شهر الماضية؟</v>
      </c>
      <c r="P335" s="117" t="str">
        <f>CONCATENATE(N335, ". ", SUBSTITUTE($B$10, "[item]",$B$32))</f>
        <v>q16305_19. Was the boat rented out in the last 12 months?</v>
      </c>
      <c r="S335" s="181" t="str">
        <f>CONCATENATE(K327, " &amp;&amp; ", S326)</f>
        <v>selected(data('q16301_19'),'1') &amp;&amp; data('valid_overall') == 1</v>
      </c>
      <c r="Y335" s="31" t="b">
        <v>1</v>
      </c>
    </row>
    <row r="336" spans="2:25" s="31" customFormat="1">
      <c r="H336" s="216"/>
      <c r="J336" s="88" t="s">
        <v>42</v>
      </c>
      <c r="K336" s="19"/>
      <c r="L336" s="19"/>
      <c r="O336" s="312"/>
      <c r="P336" s="117"/>
      <c r="S336" s="181"/>
    </row>
    <row r="337" spans="2:25" s="31" customFormat="1">
      <c r="H337" s="216"/>
      <c r="J337" s="88" t="s">
        <v>23</v>
      </c>
      <c r="K337" s="19" t="str">
        <f>CONCATENATE("selected(data('",N335,"'),'1')&amp;&amp; ",K327)</f>
        <v>selected(data('q16305_19'),'1')&amp;&amp; selected(data('q16301_19'),'1')</v>
      </c>
      <c r="L337" s="19"/>
      <c r="O337" s="407"/>
      <c r="S337" s="181"/>
    </row>
    <row r="338" spans="2:25" s="31" customFormat="1" ht="75">
      <c r="H338" s="216"/>
      <c r="J338" s="92"/>
      <c r="K338" s="19"/>
      <c r="L338" s="19" t="s">
        <v>19</v>
      </c>
      <c r="N338" s="31" t="str">
        <f>CONCATENATE("q",$I$11, "_", A$32)</f>
        <v>q16306_19</v>
      </c>
      <c r="O338" s="312" t="str">
        <f>CONCATENATE(N338, ". ", SUBSTITUTE($E$11, "[item]",$E$32))</f>
        <v>q16306_19. كم كانت قيمة الإيجار (بالجنيه)؟</v>
      </c>
      <c r="P338" s="117" t="str">
        <f>CONCATENATE(N338, ". ", SUBSTITUTE($B$11, "[item]",$B$32))</f>
        <v>q16306_19. What was the value of the rental? (in pounds)</v>
      </c>
      <c r="Q338" s="31" t="str">
        <f>$F$11</f>
        <v>*في حالة لا أعرف سجل  999998</v>
      </c>
      <c r="R338" s="31" t="str">
        <f>$C$11</f>
        <v>*If don't know, write 999998</v>
      </c>
      <c r="S338" s="181" t="str">
        <f>CONCATENATE(K337, " &amp;&amp; ", S326)</f>
        <v>selected(data('q16305_19'),'1')&amp;&amp; selected(data('q16301_19'),'1') &amp;&amp; data('valid_overall') == 1</v>
      </c>
      <c r="Y338" s="31" t="b">
        <v>1</v>
      </c>
    </row>
    <row r="339" spans="2:25" s="31" customFormat="1">
      <c r="H339" s="216"/>
      <c r="J339" s="88" t="s">
        <v>42</v>
      </c>
      <c r="K339" s="19"/>
      <c r="L339" s="19"/>
      <c r="O339" s="407"/>
      <c r="S339" s="181"/>
    </row>
    <row r="340" spans="2:25" s="31" customFormat="1">
      <c r="H340" s="216"/>
      <c r="J340" s="405" t="s">
        <v>21</v>
      </c>
      <c r="K340" s="19"/>
      <c r="L340" s="19"/>
      <c r="O340" s="407"/>
      <c r="S340" s="181"/>
    </row>
    <row r="341" spans="2:25" s="31" customFormat="1">
      <c r="H341" s="216"/>
      <c r="J341" s="405" t="s">
        <v>20</v>
      </c>
      <c r="K341" s="19"/>
      <c r="L341" s="19"/>
      <c r="O341" s="407"/>
      <c r="S341" s="181"/>
    </row>
    <row r="342" spans="2:25" s="117" customFormat="1" ht="45">
      <c r="B342" s="168"/>
      <c r="C342" s="168"/>
      <c r="E342" s="168"/>
      <c r="F342" s="168"/>
      <c r="G342" s="168"/>
      <c r="H342" s="191"/>
      <c r="I342" s="168"/>
      <c r="J342" s="178"/>
      <c r="K342" s="54"/>
      <c r="L342" s="19" t="s">
        <v>18</v>
      </c>
      <c r="M342" s="31" t="s">
        <v>17</v>
      </c>
      <c r="N342" s="117" t="str">
        <f>CONCATENATE("q",$I$6, "_", A$33)</f>
        <v>q16301_97</v>
      </c>
      <c r="O342" s="312" t="str">
        <f>CONCATENATE(N342, ". ", SUBSTITUTE($E$6, "[item]",$E$33))</f>
        <v>q16301_97. هل تمتلك الأسرة أي ممتلكات من معدات أخرى؟</v>
      </c>
      <c r="P342" s="117" t="str">
        <f>CONCATENATE(N342, ". ", SUBSTITUTE($B$6, "[item]",$B$33))</f>
        <v xml:space="preserve">q16301_97. Does your household own any Other equipment (specify)? (Entirely or with sharing)   </v>
      </c>
      <c r="S342" s="117" t="s">
        <v>587</v>
      </c>
      <c r="Y342" s="31"/>
    </row>
    <row r="343" spans="2:25" s="31" customFormat="1">
      <c r="B343" s="161"/>
      <c r="C343" s="161"/>
      <c r="E343" s="161"/>
      <c r="F343" s="161"/>
      <c r="G343" s="161"/>
      <c r="H343" s="216"/>
      <c r="I343" s="161"/>
      <c r="J343" s="88" t="s">
        <v>51</v>
      </c>
      <c r="K343" s="19" t="str">
        <f>CONCATENATE("selected(data('",N342,"'),'1')")</f>
        <v>selected(data('q16301_97'),'1')</v>
      </c>
      <c r="L343" s="19"/>
      <c r="O343" s="312"/>
      <c r="P343" s="117"/>
      <c r="S343" s="181"/>
    </row>
    <row r="344" spans="2:25" s="19" customFormat="1" ht="45">
      <c r="E344" s="31"/>
      <c r="H344" s="215"/>
      <c r="I344" s="216"/>
      <c r="J344" s="88"/>
      <c r="L344" s="19" t="s">
        <v>8</v>
      </c>
      <c r="N344" s="117" t="str">
        <f>CONCATENATE("q",$I$6, "_", A$34)</f>
        <v>q16301_97_other</v>
      </c>
      <c r="O344" s="48" t="str">
        <f>CONCATENATE(N344,". ",E34)</f>
        <v>q16301_97_other. يرجى تحديد المعدات الأخرى</v>
      </c>
      <c r="P344" s="31" t="str">
        <f>CONCATENATE(N344,". ",B34)</f>
        <v>q16301_97_other. Please specify what the other equipment is:</v>
      </c>
      <c r="Q344" s="31"/>
      <c r="R344" s="31"/>
      <c r="S344" s="181" t="str">
        <f>CONCATENATE(K343, " &amp;&amp; ", S342)</f>
        <v>selected(data('q16301_97'),'1') &amp;&amp; data('valid_overall') == 1</v>
      </c>
      <c r="T344" s="31"/>
      <c r="V344" s="31"/>
      <c r="Y344" s="19" t="b">
        <v>1</v>
      </c>
    </row>
    <row r="345" spans="2:25" s="31" customFormat="1" ht="45">
      <c r="H345" s="216"/>
      <c r="J345" s="92"/>
      <c r="K345" s="19"/>
      <c r="L345" s="19" t="s">
        <v>19</v>
      </c>
      <c r="N345" s="31" t="str">
        <f>CONCATENATE("q",$I$7, "_", A$33)</f>
        <v>q16302_97</v>
      </c>
      <c r="O345" s="312" t="str">
        <f>CONCATENATE(N345,". ",SUBSTITUTE($E$7,"[item]","{{data.q16301_97_other}}"))</f>
        <v>q16302_97. كم {{data.q16301_97_other}} تمتلك الأسرة؟</v>
      </c>
      <c r="P345" s="117" t="str">
        <f>CONCATENATE(N345, ". ", SUBSTITUTE($B$7, "[item]","{{data.q16301_97_other}}"))</f>
        <v>q16302_97. How many {{data.q16301_97_other}} does your household own?</v>
      </c>
      <c r="Q345" s="2"/>
      <c r="R345" s="2"/>
      <c r="S345" s="181" t="str">
        <f>CONCATENATE(K343, " &amp;&amp; ", S342)</f>
        <v>selected(data('q16301_97'),'1') &amp;&amp; data('valid_overall') == 1</v>
      </c>
      <c r="T345" s="2"/>
      <c r="U345"/>
      <c r="V345"/>
      <c r="W345"/>
      <c r="X345"/>
      <c r="Y345" s="31" t="b">
        <v>1</v>
      </c>
    </row>
    <row r="346" spans="2:25" s="31" customFormat="1" ht="45">
      <c r="H346" s="117"/>
      <c r="J346" s="92"/>
      <c r="K346" s="19"/>
      <c r="L346" s="19" t="s">
        <v>18</v>
      </c>
      <c r="M346" s="31" t="s">
        <v>17</v>
      </c>
      <c r="N346" s="31" t="str">
        <f>CONCATENATE("q",$I$8, "_", A$33)</f>
        <v>q16303_97</v>
      </c>
      <c r="O346" s="312" t="str">
        <f>CONCATENATE(N346, ". ", SUBSTITUTE($E$8, "[item]","{{data.q16301_97_other}}"))</f>
        <v>q16303_97. هل تمتلك الأسرة {{data.q16301_97_other}} مشاركة مع أسر أخرى؟</v>
      </c>
      <c r="P346" s="117" t="str">
        <f>CONCATENATE(N346, ". ", SUBSTITUTE($B$8, "[item]","{{data.q16301_97_other}}"))</f>
        <v>q16303_97. Does your household own any {{data.q16301_97_other}} jointly with any other household?</v>
      </c>
      <c r="S346" s="181" t="str">
        <f>CONCATENATE(K343, " &amp;&amp; ", S342)</f>
        <v>selected(data('q16301_97'),'1') &amp;&amp; data('valid_overall') == 1</v>
      </c>
      <c r="Y346" s="31" t="b">
        <v>1</v>
      </c>
    </row>
    <row r="347" spans="2:25" s="31" customFormat="1">
      <c r="H347" s="117"/>
      <c r="J347" s="88" t="s">
        <v>42</v>
      </c>
      <c r="K347" s="19"/>
      <c r="L347" s="19"/>
      <c r="O347" s="312"/>
      <c r="P347" s="117"/>
      <c r="S347" s="181"/>
    </row>
    <row r="348" spans="2:25" s="31" customFormat="1">
      <c r="H348" s="216"/>
      <c r="J348" s="88" t="s">
        <v>51</v>
      </c>
      <c r="K348" s="19" t="str">
        <f>CONCATENATE("selected(data('",N346,"'),'1') &amp;&amp; ", K343)</f>
        <v>selected(data('q16303_97'),'1') &amp;&amp; selected(data('q16301_97'),'1')</v>
      </c>
      <c r="L348" s="19"/>
      <c r="O348" s="48"/>
      <c r="S348" s="181"/>
    </row>
    <row r="349" spans="2:25" s="31" customFormat="1" ht="90">
      <c r="H349" s="216"/>
      <c r="J349" s="433"/>
      <c r="K349" s="19"/>
      <c r="L349" s="19" t="s">
        <v>19</v>
      </c>
      <c r="N349" s="31" t="str">
        <f>CONCATENATE("q",$I$9, "_", A$33)</f>
        <v>q16304_97</v>
      </c>
      <c r="O349" s="312" t="str">
        <f>CONCATENATE(N349, ". ", SUBSTITUTE($E$9, "[item]","{{data.q16301_97_other}}"))</f>
        <v>q16304_97. ما نصيب الأسرة من {{data.q16301_97_other}}؟</v>
      </c>
      <c r="P349" s="117" t="str">
        <f>CONCATENATE(N349, ". ", SUBSTITUTE($B$9, "[item]", "{{data.q16301_97_other}}"))</f>
        <v>q16304_97. What share of these {{data.q16301_97_other}} belong to your household?</v>
      </c>
      <c r="Q349" s="31" t="str">
        <f>$G$9</f>
        <v>سجل النسبة من 0-100. إذا كانت النسبة تختلف من سلعة لأخرى، سجل متوسط نصيب الاسرة.</v>
      </c>
      <c r="R349" s="31" t="str">
        <f>$D$9</f>
        <v>Answer as a percentage (0-100). *If share differs over items, record average share.</v>
      </c>
      <c r="S349" s="181" t="str">
        <f>CONCATENATE(K348, " &amp;&amp; ",  S342)</f>
        <v>selected(data('q16303_97'),'1') &amp;&amp; selected(data('q16301_97'),'1') &amp;&amp; data('valid_overall') == 1</v>
      </c>
      <c r="V349" s="63" t="str">
        <f>CONCATENATE("(data('",N349,"') &gt;= 0 &amp;&amp; data('",N349,"') &lt;= 100)")</f>
        <v>(data('q16304_97') &gt;= 0 &amp;&amp; data('q16304_97') &lt;= 100)</v>
      </c>
      <c r="W349" s="16" t="s">
        <v>1051</v>
      </c>
      <c r="X349" s="63" t="s">
        <v>441</v>
      </c>
      <c r="Y349" s="31" t="b">
        <v>1</v>
      </c>
    </row>
    <row r="350" spans="2:25" s="31" customFormat="1">
      <c r="H350" s="216"/>
      <c r="J350" s="88" t="s">
        <v>42</v>
      </c>
      <c r="K350" s="19"/>
      <c r="L350" s="19"/>
      <c r="O350" s="48"/>
      <c r="S350" s="181"/>
    </row>
    <row r="351" spans="2:25" s="31" customFormat="1">
      <c r="H351" s="216"/>
      <c r="J351" s="88" t="s">
        <v>51</v>
      </c>
      <c r="K351" s="19" t="str">
        <f>CONCATENATE("selected(data('",N342,"'),'1')")</f>
        <v>selected(data('q16301_97'),'1')</v>
      </c>
      <c r="L351" s="19"/>
      <c r="O351" s="48"/>
      <c r="S351" s="181"/>
    </row>
    <row r="352" spans="2:25" s="31" customFormat="1" ht="45">
      <c r="H352" s="216"/>
      <c r="J352" s="88"/>
      <c r="K352" s="19"/>
      <c r="L352" s="19" t="s">
        <v>18</v>
      </c>
      <c r="M352" s="31" t="s">
        <v>17</v>
      </c>
      <c r="N352" s="31" t="str">
        <f>CONCATENATE("q",$I$10, "_", A$33)</f>
        <v>q16305_97</v>
      </c>
      <c r="O352" s="312" t="str">
        <f>CONCATENATE(N352, ". ", SUBSTITUTE($E$10, "[item]","{{data.q16301_97_other}}"))</f>
        <v>q16305_97. هل استؤجر {{data.q16301_97_other}} خلال الـ12 شهر الماضية؟</v>
      </c>
      <c r="P352" s="117" t="str">
        <f>CONCATENATE(N352, ". ", SUBSTITUTE($B$10, "[item]","{{data.q16301_97_other}}"))</f>
        <v>q16305_97. Was the {{data.q16301_97_other}} rented out in the last 12 months?</v>
      </c>
      <c r="S352" s="181" t="str">
        <f>CONCATENATE(K343, " &amp;&amp; ", S342)</f>
        <v>selected(data('q16301_97'),'1') &amp;&amp; data('valid_overall') == 1</v>
      </c>
      <c r="Y352" s="31" t="b">
        <v>1</v>
      </c>
    </row>
    <row r="353" spans="2:25" s="31" customFormat="1">
      <c r="H353" s="216"/>
      <c r="J353" s="88" t="s">
        <v>42</v>
      </c>
      <c r="K353" s="19"/>
      <c r="L353" s="19"/>
      <c r="O353" s="312"/>
      <c r="P353" s="117"/>
      <c r="S353" s="181"/>
    </row>
    <row r="354" spans="2:25" s="31" customFormat="1" ht="17.25" customHeight="1">
      <c r="H354" s="216"/>
      <c r="J354" s="88" t="s">
        <v>23</v>
      </c>
      <c r="K354" s="19" t="str">
        <f>CONCATENATE("selected(data('",N352,"'),'1') &amp;&amp; ",K343)</f>
        <v>selected(data('q16305_97'),'1') &amp;&amp; selected(data('q16301_97'),'1')</v>
      </c>
      <c r="L354" s="19"/>
      <c r="O354" s="48"/>
      <c r="S354" s="181"/>
    </row>
    <row r="355" spans="2:25" s="31" customFormat="1" ht="75">
      <c r="H355" s="216"/>
      <c r="J355" s="92"/>
      <c r="K355" s="19"/>
      <c r="L355" s="19" t="s">
        <v>19</v>
      </c>
      <c r="N355" s="31" t="str">
        <f>CONCATENATE("q",$I$11, "_", A$33)</f>
        <v>q16306_97</v>
      </c>
      <c r="O355" s="312" t="str">
        <f>CONCATENATE(N355, ". ", SUBSTITUTE($E$11, "[item]","{{data.q16301_97_other}}"))</f>
        <v>q16306_97. كم كانت قيمة الإيجار (بالجنيه)؟</v>
      </c>
      <c r="P355" s="117" t="str">
        <f>CONCATENATE(N355, ". ", SUBSTITUTE($B$11, "[item]","{{data.q16301_97_other}}"))</f>
        <v>q16306_97. What was the value of the rental? (in pounds)</v>
      </c>
      <c r="Q355" s="31" t="str">
        <f>$F$11</f>
        <v>*في حالة لا أعرف سجل  999998</v>
      </c>
      <c r="R355" s="31" t="str">
        <f>$C$11</f>
        <v>*If don't know, write 999998</v>
      </c>
      <c r="S355" s="181" t="str">
        <f>CONCATENATE( K354, " &amp;&amp; ", S342)</f>
        <v>selected(data('q16305_97'),'1') &amp;&amp; selected(data('q16301_97'),'1') &amp;&amp; data('valid_overall') == 1</v>
      </c>
      <c r="Y355" s="31" t="b">
        <v>1</v>
      </c>
    </row>
    <row r="356" spans="2:25" s="31" customFormat="1">
      <c r="H356" s="216"/>
      <c r="J356" s="88" t="s">
        <v>42</v>
      </c>
      <c r="K356" s="19"/>
      <c r="L356" s="19"/>
      <c r="O356" s="48"/>
    </row>
    <row r="357" spans="2:25" s="181" customFormat="1">
      <c r="H357" s="217"/>
      <c r="J357" s="49" t="s">
        <v>21</v>
      </c>
      <c r="K357" s="50"/>
      <c r="L357" s="50"/>
      <c r="O357" s="76"/>
    </row>
    <row r="358" spans="2:25" s="117" customFormat="1" ht="86.25" customHeight="1">
      <c r="B358" s="168"/>
      <c r="C358" s="168"/>
      <c r="E358" s="168"/>
      <c r="F358" s="168"/>
      <c r="G358" s="168"/>
      <c r="H358" s="191"/>
      <c r="I358" s="168"/>
      <c r="J358" s="54"/>
      <c r="K358" s="54"/>
      <c r="L358" s="54"/>
      <c r="O358" s="312"/>
    </row>
    <row r="359" spans="2:25" s="31" customFormat="1">
      <c r="B359" s="161"/>
      <c r="C359" s="161"/>
      <c r="E359" s="161"/>
      <c r="F359" s="161"/>
      <c r="G359" s="161"/>
      <c r="H359" s="216"/>
      <c r="I359" s="161"/>
      <c r="J359" s="22"/>
      <c r="K359" s="19"/>
      <c r="L359" s="19"/>
      <c r="O359" s="312"/>
      <c r="P359" s="117"/>
    </row>
    <row r="360" spans="2:25" s="31" customFormat="1">
      <c r="H360" s="216"/>
      <c r="J360" s="66"/>
      <c r="K360" s="19"/>
      <c r="L360" s="19"/>
      <c r="O360" s="48"/>
    </row>
    <row r="361" spans="2:25" s="31" customFormat="1">
      <c r="H361" s="216"/>
      <c r="J361" s="66"/>
      <c r="K361" s="19"/>
      <c r="L361" s="19"/>
      <c r="O361" s="312"/>
      <c r="P361" s="117"/>
      <c r="V361" s="63"/>
      <c r="W361" s="63"/>
      <c r="X361" s="63"/>
    </row>
    <row r="362" spans="2:25" s="31" customFormat="1">
      <c r="H362" s="216"/>
      <c r="J362" s="66"/>
      <c r="K362" s="19"/>
      <c r="L362" s="19"/>
      <c r="O362" s="48"/>
    </row>
    <row r="363" spans="2:25" s="31" customFormat="1">
      <c r="H363" s="216"/>
      <c r="J363" s="66"/>
      <c r="K363" s="19"/>
      <c r="L363" s="19"/>
      <c r="O363" s="312"/>
      <c r="P363" s="117"/>
    </row>
    <row r="364" spans="2:25" s="31" customFormat="1">
      <c r="H364" s="216"/>
      <c r="J364" s="66"/>
      <c r="K364" s="19"/>
      <c r="L364" s="19"/>
      <c r="O364" s="48"/>
    </row>
    <row r="365" spans="2:25" s="31" customFormat="1">
      <c r="H365" s="216"/>
      <c r="J365" s="159"/>
      <c r="K365" s="19"/>
      <c r="L365" s="19"/>
      <c r="O365" s="48"/>
    </row>
    <row r="366" spans="2:25" s="31" customFormat="1">
      <c r="H366" s="216"/>
      <c r="J366" s="159"/>
      <c r="K366" s="19"/>
      <c r="L366" s="19"/>
      <c r="O366" s="312"/>
      <c r="P366" s="117"/>
      <c r="V366" s="63"/>
      <c r="W366" s="63"/>
      <c r="X366" s="63"/>
    </row>
    <row r="367" spans="2:25" s="31" customFormat="1">
      <c r="H367" s="216"/>
      <c r="J367" s="159"/>
      <c r="K367" s="19"/>
      <c r="L367" s="19"/>
      <c r="O367" s="48"/>
    </row>
    <row r="368" spans="2:25" s="31" customFormat="1">
      <c r="H368" s="216"/>
      <c r="J368" s="66"/>
      <c r="K368" s="19"/>
      <c r="L368" s="19"/>
      <c r="O368" s="48"/>
    </row>
    <row r="369" spans="2:24" s="31" customFormat="1">
      <c r="H369" s="216"/>
      <c r="J369" s="22"/>
      <c r="K369" s="19"/>
      <c r="L369" s="19"/>
      <c r="O369" s="312"/>
      <c r="P369" s="117"/>
    </row>
    <row r="370" spans="2:24" s="31" customFormat="1">
      <c r="H370" s="216"/>
      <c r="J370" s="66"/>
      <c r="K370" s="19"/>
      <c r="L370" s="19"/>
      <c r="O370" s="48"/>
    </row>
    <row r="371" spans="2:24" s="31" customFormat="1">
      <c r="H371" s="216"/>
      <c r="J371" s="66"/>
      <c r="K371" s="19"/>
      <c r="L371" s="19"/>
      <c r="O371" s="312"/>
      <c r="P371" s="117"/>
    </row>
    <row r="372" spans="2:24" s="31" customFormat="1">
      <c r="H372" s="216"/>
      <c r="J372" s="66"/>
      <c r="K372" s="19"/>
      <c r="L372" s="19"/>
      <c r="O372" s="48"/>
    </row>
    <row r="373" spans="2:24" s="181" customFormat="1">
      <c r="H373" s="217"/>
      <c r="J373" s="50"/>
      <c r="K373" s="50"/>
      <c r="L373" s="50"/>
      <c r="O373" s="76"/>
    </row>
    <row r="374" spans="2:24" s="117" customFormat="1">
      <c r="B374" s="168"/>
      <c r="C374" s="168"/>
      <c r="E374" s="168"/>
      <c r="F374" s="168"/>
      <c r="G374" s="168"/>
      <c r="H374" s="191"/>
      <c r="I374" s="168"/>
      <c r="J374" s="54"/>
      <c r="K374" s="54"/>
      <c r="L374" s="54"/>
      <c r="O374" s="312"/>
    </row>
    <row r="375" spans="2:24" s="31" customFormat="1">
      <c r="B375" s="161"/>
      <c r="C375" s="161"/>
      <c r="E375" s="161"/>
      <c r="F375" s="161"/>
      <c r="G375" s="161"/>
      <c r="H375" s="216"/>
      <c r="I375" s="161"/>
      <c r="J375" s="22"/>
      <c r="K375" s="19"/>
      <c r="L375" s="19"/>
      <c r="O375" s="312"/>
      <c r="P375" s="117"/>
    </row>
    <row r="376" spans="2:24" s="31" customFormat="1">
      <c r="H376" s="216"/>
      <c r="J376" s="66"/>
      <c r="K376" s="19"/>
      <c r="L376" s="19"/>
      <c r="O376" s="48"/>
    </row>
    <row r="377" spans="2:24" s="31" customFormat="1">
      <c r="H377" s="216"/>
      <c r="J377" s="66"/>
      <c r="K377" s="19"/>
      <c r="L377" s="19"/>
      <c r="O377" s="312"/>
      <c r="P377" s="117"/>
      <c r="V377" s="63"/>
      <c r="W377" s="63"/>
      <c r="X377" s="63"/>
    </row>
    <row r="378" spans="2:24" s="31" customFormat="1">
      <c r="H378" s="216"/>
      <c r="J378" s="66"/>
      <c r="K378" s="19"/>
      <c r="L378" s="19"/>
      <c r="O378" s="48"/>
    </row>
    <row r="379" spans="2:24" s="31" customFormat="1">
      <c r="H379" s="216"/>
      <c r="J379" s="66"/>
      <c r="K379" s="19"/>
      <c r="L379" s="19"/>
      <c r="O379" s="312"/>
      <c r="P379" s="117"/>
    </row>
    <row r="380" spans="2:24" s="31" customFormat="1">
      <c r="H380" s="216"/>
      <c r="J380" s="66"/>
      <c r="K380" s="19"/>
      <c r="L380" s="19"/>
      <c r="O380" s="48"/>
    </row>
    <row r="381" spans="2:24" s="31" customFormat="1">
      <c r="H381" s="216"/>
      <c r="J381" s="159"/>
      <c r="K381" s="19"/>
      <c r="L381" s="19"/>
      <c r="O381" s="48"/>
    </row>
    <row r="382" spans="2:24" s="31" customFormat="1">
      <c r="H382" s="216"/>
      <c r="J382" s="159"/>
      <c r="K382" s="19"/>
      <c r="L382" s="19"/>
      <c r="O382" s="312"/>
      <c r="P382" s="117"/>
      <c r="V382" s="63"/>
      <c r="W382" s="63"/>
      <c r="X382" s="63"/>
    </row>
    <row r="383" spans="2:24" s="31" customFormat="1">
      <c r="H383" s="216"/>
      <c r="J383" s="159"/>
      <c r="K383" s="19"/>
      <c r="L383" s="19"/>
      <c r="O383" s="48"/>
    </row>
    <row r="384" spans="2:24" s="31" customFormat="1">
      <c r="H384" s="216"/>
      <c r="J384" s="66"/>
      <c r="K384" s="19"/>
      <c r="L384" s="19"/>
      <c r="O384" s="48"/>
    </row>
    <row r="385" spans="2:24" s="31" customFormat="1">
      <c r="H385" s="216"/>
      <c r="J385" s="22"/>
      <c r="K385" s="19"/>
      <c r="L385" s="19"/>
      <c r="O385" s="312"/>
      <c r="P385" s="117"/>
    </row>
    <row r="386" spans="2:24" s="31" customFormat="1">
      <c r="H386" s="216"/>
      <c r="J386" s="66"/>
      <c r="K386" s="19"/>
      <c r="L386" s="19"/>
      <c r="O386" s="48"/>
    </row>
    <row r="387" spans="2:24" s="31" customFormat="1">
      <c r="H387" s="216"/>
      <c r="J387" s="66"/>
      <c r="K387" s="19"/>
      <c r="L387" s="19"/>
      <c r="O387" s="312"/>
      <c r="P387" s="117"/>
    </row>
    <row r="388" spans="2:24" s="31" customFormat="1">
      <c r="H388" s="216"/>
      <c r="J388" s="66"/>
      <c r="K388" s="19"/>
      <c r="L388" s="19"/>
      <c r="O388" s="48"/>
    </row>
    <row r="389" spans="2:24" s="181" customFormat="1">
      <c r="H389" s="217"/>
      <c r="J389" s="50"/>
      <c r="K389" s="50"/>
      <c r="L389" s="50"/>
      <c r="O389" s="76"/>
    </row>
    <row r="390" spans="2:24" s="117" customFormat="1">
      <c r="B390" s="168"/>
      <c r="C390" s="168"/>
      <c r="E390" s="168"/>
      <c r="F390" s="168"/>
      <c r="G390" s="168"/>
      <c r="H390" s="191"/>
      <c r="I390" s="168"/>
      <c r="J390" s="54"/>
      <c r="K390" s="54"/>
      <c r="L390" s="54"/>
      <c r="O390" s="312"/>
    </row>
    <row r="391" spans="2:24" s="31" customFormat="1">
      <c r="B391" s="161"/>
      <c r="C391" s="161"/>
      <c r="E391" s="161"/>
      <c r="F391" s="161"/>
      <c r="G391" s="161"/>
      <c r="H391" s="216"/>
      <c r="I391" s="161"/>
      <c r="J391" s="22"/>
      <c r="K391" s="19"/>
      <c r="L391" s="19"/>
      <c r="O391" s="312"/>
      <c r="P391" s="117"/>
    </row>
    <row r="392" spans="2:24" s="31" customFormat="1">
      <c r="H392" s="216"/>
      <c r="J392" s="66"/>
      <c r="K392" s="19"/>
      <c r="L392" s="19"/>
      <c r="O392" s="48"/>
    </row>
    <row r="393" spans="2:24" s="31" customFormat="1">
      <c r="H393" s="216"/>
      <c r="J393" s="66"/>
      <c r="K393" s="19"/>
      <c r="L393" s="19"/>
      <c r="O393" s="312"/>
      <c r="P393" s="117"/>
      <c r="V393" s="63"/>
      <c r="W393" s="63"/>
      <c r="X393" s="63"/>
    </row>
    <row r="394" spans="2:24" s="31" customFormat="1">
      <c r="H394" s="216"/>
      <c r="J394" s="66"/>
      <c r="K394" s="19"/>
      <c r="L394" s="19"/>
      <c r="O394" s="48"/>
    </row>
    <row r="395" spans="2:24" s="31" customFormat="1">
      <c r="H395" s="216"/>
      <c r="J395" s="66"/>
      <c r="K395" s="19"/>
      <c r="L395" s="19"/>
      <c r="O395" s="312"/>
      <c r="P395" s="117"/>
    </row>
    <row r="396" spans="2:24" s="31" customFormat="1">
      <c r="H396" s="216"/>
      <c r="J396" s="66"/>
      <c r="K396" s="19"/>
      <c r="L396" s="19"/>
      <c r="O396" s="48"/>
    </row>
    <row r="397" spans="2:24" s="31" customFormat="1">
      <c r="H397" s="216"/>
      <c r="J397" s="159"/>
      <c r="K397" s="19"/>
      <c r="L397" s="19"/>
      <c r="O397" s="48"/>
    </row>
    <row r="398" spans="2:24" s="31" customFormat="1">
      <c r="H398" s="216"/>
      <c r="J398" s="159"/>
      <c r="K398" s="19"/>
      <c r="L398" s="19"/>
      <c r="O398" s="312"/>
      <c r="P398" s="117"/>
      <c r="V398" s="63"/>
      <c r="W398" s="63"/>
      <c r="X398" s="63"/>
    </row>
    <row r="399" spans="2:24" s="31" customFormat="1">
      <c r="H399" s="216"/>
      <c r="J399" s="159"/>
      <c r="K399" s="19"/>
      <c r="L399" s="19"/>
      <c r="O399" s="48"/>
    </row>
    <row r="400" spans="2:24" s="31" customFormat="1">
      <c r="H400" s="216"/>
      <c r="J400" s="66"/>
      <c r="K400" s="19"/>
      <c r="L400" s="19"/>
      <c r="O400" s="48"/>
    </row>
    <row r="401" spans="2:24" s="31" customFormat="1">
      <c r="H401" s="216"/>
      <c r="J401" s="22"/>
      <c r="K401" s="19"/>
      <c r="L401" s="19"/>
      <c r="O401" s="312"/>
      <c r="P401" s="117"/>
    </row>
    <row r="402" spans="2:24" s="31" customFormat="1">
      <c r="H402" s="216"/>
      <c r="J402" s="66"/>
      <c r="K402" s="19"/>
      <c r="L402" s="19"/>
      <c r="O402" s="48"/>
    </row>
    <row r="403" spans="2:24" s="31" customFormat="1">
      <c r="H403" s="216"/>
      <c r="J403" s="66"/>
      <c r="K403" s="19"/>
      <c r="L403" s="19"/>
      <c r="O403" s="312"/>
      <c r="P403" s="117"/>
    </row>
    <row r="404" spans="2:24" s="31" customFormat="1">
      <c r="H404" s="216"/>
      <c r="J404" s="66"/>
      <c r="K404" s="19"/>
      <c r="L404" s="19"/>
      <c r="O404" s="48"/>
    </row>
    <row r="405" spans="2:24" s="181" customFormat="1">
      <c r="H405" s="217"/>
      <c r="J405" s="50"/>
      <c r="K405" s="50"/>
      <c r="L405" s="50"/>
      <c r="O405" s="76"/>
    </row>
    <row r="406" spans="2:24" s="117" customFormat="1">
      <c r="B406" s="168"/>
      <c r="C406" s="168"/>
      <c r="E406" s="168"/>
      <c r="F406" s="168"/>
      <c r="G406" s="168"/>
      <c r="H406" s="191"/>
      <c r="I406" s="168"/>
      <c r="J406" s="54"/>
      <c r="K406" s="54"/>
      <c r="L406" s="54"/>
      <c r="O406" s="312"/>
    </row>
    <row r="407" spans="2:24" s="31" customFormat="1">
      <c r="B407" s="161"/>
      <c r="C407" s="161"/>
      <c r="E407" s="161"/>
      <c r="F407" s="161"/>
      <c r="G407" s="161"/>
      <c r="H407" s="216"/>
      <c r="I407" s="161"/>
      <c r="J407" s="22"/>
      <c r="K407" s="19"/>
      <c r="L407" s="19"/>
      <c r="O407" s="312"/>
      <c r="P407" s="117"/>
    </row>
    <row r="408" spans="2:24" s="31" customFormat="1">
      <c r="H408" s="216"/>
      <c r="J408" s="66"/>
      <c r="K408" s="19"/>
      <c r="L408" s="19"/>
      <c r="O408" s="48"/>
    </row>
    <row r="409" spans="2:24" s="31" customFormat="1">
      <c r="H409" s="216"/>
      <c r="J409" s="66"/>
      <c r="K409" s="19"/>
      <c r="L409" s="19"/>
      <c r="O409" s="312"/>
      <c r="P409" s="117"/>
      <c r="V409" s="63"/>
      <c r="W409" s="63"/>
      <c r="X409" s="63"/>
    </row>
    <row r="410" spans="2:24" s="31" customFormat="1">
      <c r="H410" s="216"/>
      <c r="J410" s="66"/>
      <c r="K410" s="19"/>
      <c r="L410" s="19"/>
      <c r="O410" s="48"/>
    </row>
    <row r="411" spans="2:24" s="31" customFormat="1">
      <c r="H411" s="216"/>
      <c r="J411" s="66"/>
      <c r="K411" s="19"/>
      <c r="L411" s="19"/>
      <c r="O411" s="312"/>
      <c r="P411" s="117"/>
    </row>
    <row r="412" spans="2:24" s="31" customFormat="1">
      <c r="H412" s="216"/>
      <c r="J412" s="66"/>
      <c r="K412" s="19"/>
      <c r="L412" s="19"/>
      <c r="O412" s="48"/>
    </row>
    <row r="413" spans="2:24" s="31" customFormat="1">
      <c r="H413" s="216"/>
      <c r="J413" s="159"/>
      <c r="K413" s="19"/>
      <c r="L413" s="19"/>
      <c r="O413" s="48"/>
    </row>
    <row r="414" spans="2:24" s="31" customFormat="1">
      <c r="H414" s="216"/>
      <c r="J414" s="159"/>
      <c r="K414" s="19"/>
      <c r="L414" s="19"/>
      <c r="O414" s="312"/>
      <c r="P414" s="117"/>
      <c r="V414" s="63"/>
      <c r="W414" s="63"/>
      <c r="X414" s="63"/>
    </row>
    <row r="415" spans="2:24" s="31" customFormat="1">
      <c r="H415" s="216"/>
      <c r="J415" s="159"/>
      <c r="K415" s="19"/>
      <c r="L415" s="19"/>
      <c r="O415" s="48"/>
    </row>
    <row r="416" spans="2:24" s="31" customFormat="1">
      <c r="H416" s="216"/>
      <c r="J416" s="66"/>
      <c r="K416" s="19"/>
      <c r="L416" s="19"/>
      <c r="O416" s="48"/>
    </row>
    <row r="417" spans="8:16" s="31" customFormat="1">
      <c r="H417" s="216"/>
      <c r="J417" s="22"/>
      <c r="K417" s="19"/>
      <c r="L417" s="19"/>
      <c r="O417" s="312"/>
      <c r="P417" s="117"/>
    </row>
    <row r="418" spans="8:16" s="31" customFormat="1">
      <c r="H418" s="216"/>
      <c r="J418" s="66"/>
      <c r="K418" s="19"/>
      <c r="L418" s="19"/>
      <c r="O418" s="48"/>
    </row>
    <row r="419" spans="8:16" s="31" customFormat="1">
      <c r="H419" s="216"/>
      <c r="J419" s="66"/>
      <c r="K419" s="19"/>
      <c r="L419" s="19"/>
      <c r="O419" s="312"/>
      <c r="P419" s="117"/>
    </row>
    <row r="420" spans="8:16" s="31" customFormat="1">
      <c r="H420" s="216"/>
      <c r="J420" s="66"/>
      <c r="K420" s="19"/>
      <c r="L420" s="19"/>
      <c r="O420" s="48"/>
    </row>
    <row r="421" spans="8:16" s="181" customFormat="1">
      <c r="H421" s="217"/>
      <c r="J421" s="50"/>
      <c r="K421" s="50"/>
      <c r="L421" s="50"/>
      <c r="O421" s="76"/>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6"/>
  <sheetViews>
    <sheetView topLeftCell="C1" workbookViewId="0">
      <pane ySplit="2" topLeftCell="A22" activePane="bottomLeft" state="frozen"/>
      <selection pane="bottomLeft" activeCell="L22" sqref="L22:M22"/>
    </sheetView>
  </sheetViews>
  <sheetFormatPr defaultColWidth="8.85546875" defaultRowHeight="15"/>
  <cols>
    <col min="1" max="1" width="11.42578125" style="1" customWidth="1"/>
    <col min="2" max="4" width="16.42578125" style="1" customWidth="1"/>
    <col min="5" max="5" width="16.42578125" style="40" customWidth="1"/>
    <col min="6" max="6" width="24.42578125" style="40" customWidth="1"/>
    <col min="7" max="7" width="16.42578125" style="1" bestFit="1" customWidth="1"/>
    <col min="8" max="8" width="12.85546875" style="1" customWidth="1"/>
    <col min="9" max="9" width="10.42578125" style="1" bestFit="1" customWidth="1"/>
    <col min="10" max="10" width="12.42578125" style="1" bestFit="1" customWidth="1"/>
    <col min="11" max="11" width="24.42578125" style="1" customWidth="1"/>
    <col min="12" max="12" width="18.42578125" style="1" bestFit="1" customWidth="1"/>
    <col min="13" max="13" width="21.140625" style="1" bestFit="1" customWidth="1"/>
    <col min="14" max="14" width="13.85546875" style="1" bestFit="1" customWidth="1"/>
    <col min="15" max="15" width="34" style="86" customWidth="1"/>
    <col min="16" max="16" width="34" style="28" customWidth="1"/>
    <col min="17" max="17" width="25.42578125" style="1" bestFit="1" customWidth="1"/>
    <col min="18" max="18" width="18.42578125" style="1" customWidth="1"/>
    <col min="19" max="19" width="12.140625" style="28" bestFit="1" customWidth="1"/>
    <col min="20" max="20" width="9.85546875" style="1" bestFit="1" customWidth="1"/>
    <col min="21" max="21" width="9.85546875" style="1" customWidth="1"/>
    <col min="22" max="24" width="7.7109375" style="28" customWidth="1"/>
    <col min="25" max="25" width="14.85546875" style="1" bestFit="1" customWidth="1"/>
    <col min="26" max="26" width="10.42578125" style="64" bestFit="1" customWidth="1"/>
    <col min="27" max="27" width="25.42578125" style="64" bestFit="1" customWidth="1"/>
    <col min="28" max="28" width="24.140625" style="1" customWidth="1"/>
    <col min="29" max="29" width="14.42578125" style="1" customWidth="1"/>
    <col min="30" max="16384" width="8.85546875" style="1"/>
  </cols>
  <sheetData>
    <row r="1" spans="1:30" s="332" customFormat="1">
      <c r="A1" s="332" t="s">
        <v>5</v>
      </c>
      <c r="B1" s="332" t="s">
        <v>5</v>
      </c>
      <c r="C1" s="332" t="s">
        <v>5</v>
      </c>
      <c r="D1" s="332" t="s">
        <v>5</v>
      </c>
      <c r="E1" s="332" t="s">
        <v>5</v>
      </c>
      <c r="F1" s="332" t="s">
        <v>5</v>
      </c>
      <c r="G1" s="332" t="s">
        <v>5</v>
      </c>
      <c r="H1" s="332" t="s">
        <v>5</v>
      </c>
      <c r="I1" s="332" t="s">
        <v>5</v>
      </c>
      <c r="J1" s="334" t="s">
        <v>0</v>
      </c>
      <c r="K1" s="334" t="s">
        <v>1</v>
      </c>
      <c r="L1" s="332" t="s">
        <v>2</v>
      </c>
      <c r="M1" s="332" t="s">
        <v>3</v>
      </c>
      <c r="N1" s="332" t="s">
        <v>4</v>
      </c>
      <c r="O1" s="353" t="s">
        <v>1282</v>
      </c>
      <c r="P1" s="332" t="s">
        <v>1283</v>
      </c>
      <c r="Q1" s="51" t="s">
        <v>1286</v>
      </c>
      <c r="R1" s="52" t="s">
        <v>1287</v>
      </c>
      <c r="S1" s="52" t="s">
        <v>7</v>
      </c>
      <c r="T1" s="332" t="s">
        <v>47</v>
      </c>
      <c r="U1" s="332" t="s">
        <v>148</v>
      </c>
      <c r="V1" s="332" t="s">
        <v>25</v>
      </c>
      <c r="W1" s="52" t="s">
        <v>1288</v>
      </c>
      <c r="X1" s="52" t="s">
        <v>1289</v>
      </c>
      <c r="Y1" s="52" t="s">
        <v>6</v>
      </c>
      <c r="Z1" s="160" t="s">
        <v>374</v>
      </c>
      <c r="AA1" s="160" t="s">
        <v>375</v>
      </c>
    </row>
    <row r="2" spans="1:30" s="52" customFormat="1" ht="45">
      <c r="A2" s="102" t="s">
        <v>353</v>
      </c>
      <c r="B2" s="103" t="s">
        <v>354</v>
      </c>
      <c r="C2" s="102" t="s">
        <v>1187</v>
      </c>
      <c r="D2" s="103" t="s">
        <v>358</v>
      </c>
      <c r="E2" s="95" t="s">
        <v>355</v>
      </c>
      <c r="F2" s="102" t="s">
        <v>1186</v>
      </c>
      <c r="G2" s="79" t="s">
        <v>357</v>
      </c>
      <c r="H2" s="74" t="s">
        <v>356</v>
      </c>
      <c r="I2" s="74" t="s">
        <v>426</v>
      </c>
      <c r="J2" s="15"/>
      <c r="K2" s="15"/>
      <c r="O2" s="73"/>
      <c r="P2" s="62"/>
      <c r="S2" s="62"/>
      <c r="W2" s="31"/>
      <c r="X2" s="31"/>
      <c r="AA2" s="33"/>
      <c r="AB2" s="7"/>
      <c r="AC2" s="98"/>
      <c r="AD2" s="98"/>
    </row>
    <row r="3" spans="1:30" s="52" customFormat="1">
      <c r="A3" s="104" t="s">
        <v>364</v>
      </c>
      <c r="B3" s="104" t="s">
        <v>365</v>
      </c>
      <c r="C3" s="104" t="s">
        <v>364</v>
      </c>
      <c r="D3" s="104" t="s">
        <v>364</v>
      </c>
      <c r="E3" s="104" t="s">
        <v>365</v>
      </c>
      <c r="F3" s="104" t="s">
        <v>364</v>
      </c>
      <c r="G3" s="104" t="s">
        <v>364</v>
      </c>
      <c r="H3" s="105" t="s">
        <v>364</v>
      </c>
      <c r="I3" s="105" t="s">
        <v>364</v>
      </c>
      <c r="J3" s="15"/>
      <c r="K3" s="15"/>
      <c r="O3" s="73"/>
      <c r="P3" s="62"/>
      <c r="S3" s="62"/>
      <c r="V3" s="62"/>
      <c r="W3" s="63"/>
      <c r="X3" s="63"/>
      <c r="AA3" s="33"/>
      <c r="AB3" s="7"/>
      <c r="AC3" s="98"/>
      <c r="AD3" s="98"/>
    </row>
    <row r="4" spans="1:30" s="52" customFormat="1">
      <c r="A4" s="104"/>
      <c r="B4" s="128"/>
      <c r="C4" s="128"/>
      <c r="D4" s="104"/>
      <c r="E4" s="240"/>
      <c r="F4" s="240"/>
      <c r="G4" s="180"/>
      <c r="H4" s="105"/>
      <c r="I4" s="33"/>
      <c r="J4" s="22" t="s">
        <v>20</v>
      </c>
      <c r="K4" s="15"/>
      <c r="O4" s="73"/>
      <c r="P4" s="62"/>
      <c r="S4" s="62"/>
      <c r="V4" s="62"/>
      <c r="W4" s="63"/>
      <c r="X4" s="63"/>
      <c r="AA4" s="33"/>
      <c r="AB4" s="7"/>
      <c r="AC4" s="98"/>
      <c r="AD4" s="98"/>
    </row>
    <row r="5" spans="1:30" s="52" customFormat="1" ht="39">
      <c r="A5" s="104"/>
      <c r="B5" s="219" t="s">
        <v>675</v>
      </c>
      <c r="C5" s="219"/>
      <c r="D5" s="104"/>
      <c r="E5" s="318" t="s">
        <v>772</v>
      </c>
      <c r="F5" s="318"/>
      <c r="G5" s="180"/>
      <c r="H5" s="105"/>
      <c r="I5" s="33"/>
      <c r="J5" s="15"/>
      <c r="K5" s="15"/>
      <c r="O5" s="220" t="str">
        <f>E5</f>
        <v>16.4 المحاصيل الزراعية</v>
      </c>
      <c r="P5" s="221" t="str">
        <f>B5</f>
        <v>Section 16.4 Agricultural crops</v>
      </c>
      <c r="S5" s="62"/>
      <c r="V5" s="62"/>
      <c r="W5" s="63"/>
      <c r="X5" s="63"/>
      <c r="AA5" s="33"/>
      <c r="AB5" s="7"/>
      <c r="AC5" s="98"/>
      <c r="AD5" s="98"/>
    </row>
    <row r="6" spans="1:30" s="31" customFormat="1" ht="135">
      <c r="B6" s="31" t="s">
        <v>676</v>
      </c>
      <c r="E6" s="76" t="s">
        <v>1052</v>
      </c>
      <c r="F6" s="76"/>
      <c r="G6" s="181"/>
      <c r="I6" s="63"/>
      <c r="L6" s="161" t="s">
        <v>22</v>
      </c>
      <c r="M6" s="6"/>
      <c r="N6" s="161"/>
      <c r="O6" s="93" t="str">
        <f>E6</f>
        <v>الآن أريد أن أسألك بعض الأسئلة عن جميع المحاصيل التي تمّ حصادها خلال السنة الماضية من جميع مزارع الأسرة</v>
      </c>
      <c r="P6" s="136" t="str">
        <f>B6</f>
        <v>Preamble: Now I would like to ask some questions about all the crops that have been harvested from all HH's farms in the last 12 months.</v>
      </c>
      <c r="R6" s="40"/>
      <c r="T6" s="63"/>
      <c r="U6" s="63"/>
      <c r="V6" s="63"/>
      <c r="W6" s="63"/>
      <c r="X6" s="63"/>
      <c r="Y6" s="63"/>
    </row>
    <row r="7" spans="1:30" s="31" customFormat="1">
      <c r="E7" s="76"/>
      <c r="F7" s="76"/>
      <c r="G7" s="181"/>
      <c r="I7" s="63"/>
      <c r="J7" s="21"/>
      <c r="L7" s="161"/>
      <c r="M7" s="6"/>
      <c r="N7" s="161"/>
      <c r="O7" s="93"/>
      <c r="P7" s="136"/>
      <c r="R7" s="40"/>
      <c r="T7" s="63"/>
      <c r="U7" s="63"/>
      <c r="V7" s="63"/>
      <c r="W7" s="63"/>
      <c r="X7" s="63"/>
      <c r="Y7" s="63"/>
    </row>
    <row r="8" spans="1:30" ht="90">
      <c r="A8" s="48" t="str">
        <f>N8</f>
        <v>q16401_1</v>
      </c>
      <c r="B8" s="186" t="s">
        <v>677</v>
      </c>
      <c r="C8" s="186"/>
      <c r="D8" s="31" t="str">
        <f>CONCATENATE(INDEX(choices!D:D,MATCH(M8,choices!A:A,0)),"
",IF(M8=INDEX(choices!A:A,MATCH(M8,choices!A:A,0)+1),INDEX(choices!D:D,MATCH(M8,choices!A:A,0)+1),""),IF(M8=INDEX(choices!A:A,MATCH(M8,choices!A:A,0)+1), "
",""),IF(M8=INDEX(choices!A:A,MATCH(M8,choices!A:A,0)+2),INDEX(choices!D:D,MATCH(M8,choices!A:A,0)+2),""),IF(M8=INDEX(choices!A:A,MATCH(M8,choices!A:A,0)+2), "
",""),IF(M8=INDEX(choices!A:A,MATCH(M8,choices!A:A,0)+3),INDEX(choices!D:D,MATCH(M8,choices!A:A,0)+3),""),IF(M8=INDEX(choices!A:A,MATCH(M8,choices!A:A,0)+3), "
",""),IF(M8=INDEX(choices!A:A,MATCH(M8,choices!A:A,0)+4),INDEX(choices!D:D,MATCH(M8,choices!A:A,0)+4),""),IF(M8=INDEX(choices!A:A,MATCH(M8,choices!A:A,0)+4), "
",""),IF(M8=INDEX(choices!A:A,MATCH(M8,choices!A:A,0)+5),INDEX(choices!D:D,MATCH(M8,choices!A:A,0)+5),""),IF(M8=INDEX(choices!A:A,MATCH(M8,choices!A:A,0)+5), "
",""),IF(M8=INDEX(choices!A:A,MATCH(M8,choices!A:A,0)+6),INDEX(choices!D:D,MATCH(M8,choices!A:A,0)+6),""),IF(M8=INDEX(choices!A:A,MATCH(M8,choices!A:A,0)+6), "
",""),IF(M8=INDEX(choices!A:A,MATCH(M8,choices!A:A,0)+7),INDEX(choices!D:D,MATCH(M8,choices!A:A,0)+7),""),IF(M8=INDEX(choices!A:A,MATCH(M8,choices!A:A,0)+7), "
",""),IF(M8=INDEX(choices!A:A,MATCH(M8,choices!A:A,0)+8),INDEX(choices!D:D,MATCH(M8,choices!A:A,0)+8),""),IF(M8=INDEX(choices!A:A,MATCH(M8,choices!A:A,0)+8), "
",""),IF(M8=INDEX(choices!A:A,MATCH(M8,choices!A:A,0)+9),INDEX(choices!D:D,MATCH(M8,choices!A:A,0)+9),""),IF(M8=INDEX(choices!A:A,MATCH(M8,choices!A:A,0)+9), "
",""),IF(M8=INDEX(choices!A:A,MATCH(M8,choices!A:A,0)+10),INDEX(choices!D:D,MATCH(M8,choices!A:A,0)+10),""),IF(M8=INDEX(choices!A:A,MATCH(M8,choices!A:A,0)+10), "
",""),IF(M8=INDEX(choices!A:A,MATCH(M8,choices!A:A,0)+11),INDEX(choices!D:D,MATCH(M8,choices!A:A,0)+11),""),IF(M8=INDEX(choices!A:A,MATCH(M8,choices!A:A,0)+11), "
",""),IF(M8=INDEX(choices!A:A,MATCH(M8,choices!A:A,0)+12),INDEX(choices!D:D,MATCH(M8,choices!A:A,0)+12),""),IF(M8=INDEX(choices!A:A,MATCH(M8,choices!A:A,0)+12), "
",""),IF(M8=INDEX(choices!A:A,MATCH(M8,choices!A:A,0)+13),INDEX(choices!D:D,MATCH(M8,choices!A:A,0)+13),""),IF(M8=INDEX(choices!A:A,MATCH(M8,choices!A:A,0)+13), "
",""),IF(M8=INDEX(choices!A:A,MATCH(M8,choices!A:A,0)+14),INDEX(choices!D:D,MATCH(M8,choices!A:A,0)+14),""),IF(M8=INDEX(choices!A:A,MATCH(M8,choices!A:A,0)+14), "
",""),IF(M8=INDEX(choices!A:A,MATCH(M8,choices!A:A,0)+15),INDEX(choices!D:D,MATCH(M8,choices!A:A,0)+15),""),IF(M8=INDEX(choices!A:A,MATCH(M8,choices!A:A,0)+15), "
",""),IF(M8=INDEX(choices!A:A,MATCH(M8,choices!A:A,0)+16),INDEX(choices!D:D,MATCH(M8,choices!A:A,0)+16),""),IF(M8=INDEX(choices!A:A,MATCH(M8,choices!A:A,0)+16), "
",""),IF(M8=INDEX(choices!A:A,MATCH(M8,choices!A:A,0)+17),INDEX(choices!D:D,MATCH(M8,choices!A:A,0)+17),""),IF(M8=INDEX(choices!A:A,MATCH(M8,choices!A:A,0)+17), "
",""),IF(M8=INDEX(choices!A:A,MATCH(M8,choices!A:A,0)+18),INDEX(choices!D:D,MATCH(M8,choices!A:A,0)+18),""),IF(M8=INDEX(choices!A:A,MATCH(M8,choices!A:A,0)+18), "
",""),IF(M8=INDEX(choices!A:A,MATCH(M8,choices!A:A,0)+19),INDEX(choices!D:D,MATCH(M8,choices!A:A,0)+19),""),IF(M8=INDEX(choices!A:A,MATCH(M8,choices!A:A,0)+19), "
",""),IF(M8=INDEX(choices!A:A,MATCH(M8,choices!A:A,0)+20),INDEX(choices!D:D,MATCH(M8,choices!A:A,0)+20),""),IF(M8=INDEX(choices!A:A,MATCH(M8,choices!A:A,0)+20), "
",""))</f>
        <v xml:space="preserve">1. Yes
2. No
</v>
      </c>
      <c r="E8" s="319" t="s">
        <v>1053</v>
      </c>
      <c r="F8" s="319"/>
      <c r="G8" s="67" t="str">
        <f>CONCATENATE(INDEX(choices!C:C,MATCH(M8,choices!A:A,0)),"
",IF(M8=INDEX(choices!A:A,MATCH(M8,choices!A:A,0)+1),INDEX(choices!C:C,MATCH(M8,choices!A:A,0)+1),""),IF(M8=INDEX(choices!A:A,MATCH(M8,choices!A:A,0)+1), "
",""),IF(M8=INDEX(choices!A:A,MATCH(M8,choices!A:A,0)+2),INDEX(choices!C:C,MATCH(M8,choices!A:A,0)+2),""),IF(M8=INDEX(choices!A:A,MATCH(M8,choices!A:A,0)+2), "
",""),IF(M8=INDEX(choices!A:A,MATCH(M8,choices!A:A,0)+3),INDEX(choices!C:C,MATCH(M8,choices!A:A,0)+3),""),IF(M8=INDEX(choices!A:A,MATCH(M8,choices!A:A,0)+3), "
",""),IF(M8=INDEX(choices!A:A,MATCH(M8,choices!A:A,0)+4),INDEX(choices!C:C,MATCH(M8,choices!A:A,0)+4),""),IF(M8=INDEX(choices!A:A,MATCH(M8,choices!A:A,0)+4), "
",""),IF(M8=INDEX(choices!A:A,MATCH(M8,choices!A:A,0)+5),INDEX(choices!C:C,MATCH(M8,choices!A:A,0)+5),""),IF(M8=INDEX(choices!A:A,MATCH(M8,choices!A:A,0)+5), "
",""),IF(M8=INDEX(choices!A:A,MATCH(M8,choices!A:A,0)+6),INDEX(choices!C:C,MATCH(M8,choices!A:A,0)+6),""),IF(M8=INDEX(choices!A:A,MATCH(M8,choices!A:A,0)+6), "
",""),IF(M8=INDEX(choices!A:A,MATCH(M8,choices!A:A,0)+7),INDEX(choices!C:C,MATCH(M8,choices!A:A,0)+7),""),IF(M8=INDEX(choices!A:A,MATCH(M8,choices!A:A,0)+7), "
",""),IF(M8=INDEX(choices!A:A,MATCH(M8,choices!A:A,0)+8),INDEX(choices!C:C,MATCH(M8,choices!A:A,0)+8),""),IF(M8=INDEX(choices!A:A,MATCH(M8,choices!A:A,0)+8), "
",""),IF(M8=INDEX(choices!A:A,MATCH(M8,choices!A:A,0)+9),INDEX(choices!C:C,MATCH(M8,choices!A:A,0)+9),""),IF(M8=INDEX(choices!A:A,MATCH(M8,choices!A:A,0)+9), "
",""),IF(M8=INDEX(choices!A:A,MATCH(M8,choices!A:A,0)+10),INDEX(choices!C:C,MATCH(M8,choices!A:A,0)+10),""),IF(M8=INDEX(choices!A:A,MATCH(M8,choices!A:A,0)+10), "
",""),IF(M8=INDEX(choices!A:A,MATCH(M8,choices!A:A,0)+11),INDEX(choices!C:C,MATCH(M8,choices!A:A,0)+11),""),IF(M8=INDEX(choices!A:A,MATCH(M8,choices!A:A,0)+11), "
",""),IF(M8=INDEX(choices!A:A,MATCH(M8,choices!A:A,0)+12),INDEX(choices!C:C,MATCH(M8,choices!A:A,0)+12),""),IF(M8=INDEX(choices!A:A,MATCH(M8,choices!A:A,0)+12), "
",""),IF(M8=INDEX(choices!A:A,MATCH(M8,choices!A:A,0)+13),INDEX(choices!C:C,MATCH(M8,choices!A:A,0)+13),""),IF(M8=INDEX(choices!A:A,MATCH(M8,choices!A:A,0)+13), "
",""),IF(M8=INDEX(choices!A:A,MATCH(M8,choices!A:A,0)+14),INDEX(choices!C:C,MATCH(M8,choices!A:A,0)+14),""),IF(M8=INDEX(choices!A:A,MATCH(M8,choices!A:A,0)+14), "
",""),IF(M8=INDEX(choices!A:A,MATCH(M8,choices!A:A,0)+15),INDEX(choices!C:C,MATCH(M8,choices!A:A,0)+15),""),IF(M8=INDEX(choices!A:A,MATCH(M8,choices!A:A,0)+15), "
",""),IF(M8=INDEX(choices!A:A,MATCH(M8,choices!A:A,0)+16),INDEX(choices!C:C,MATCH(M8,choices!A:A,0)+16),""),IF(M8=INDEX(choices!A:A,MATCH(M8,choices!A:A,0)+16), "
",""),IF(M8=INDEX(choices!A:A,MATCH(M8,choices!A:A,0)+17),INDEX(choices!C:C,MATCH(M8,choices!A:A,0)+17),""),IF(M8=INDEX(choices!A:A,MATCH(M8,choices!A:A,0)+17), "
",""),IF(M8=INDEX(choices!A:A,MATCH(M8,choices!A:A,0)+18),INDEX(choices!C:C,MATCH(M8,choices!A:A,0)+18),""),IF(M8=INDEX(choices!A:A,MATCH(M8,choices!A:A,0)+18), "
",""),IF(M8=INDEX(choices!A:A,MATCH(M8,choices!A:A,0)+19),INDEX(choices!C:C,MATCH(M8,choices!A:A,0)+19),""),IF(M8=INDEX(choices!A:A,MATCH(M8,choices!A:A,0)+19), "
",""),IF(M8=INDEX(choices!A:A,MATCH(M8,choices!A:A,0)+20),INDEX(choices!C:C,MATCH(M8,choices!A:A,0)+20),""),IF(M8=INDEX(choices!A:A,MATCH(M8,choices!A:A,0)+20), "
","")," ")</f>
        <v xml:space="preserve">1. نعم
2. لا
 </v>
      </c>
      <c r="H8" s="31" t="s">
        <v>688</v>
      </c>
      <c r="I8" s="28" t="str">
        <f>CONCATENATE(16401, "_1")</f>
        <v>16401_1</v>
      </c>
      <c r="L8" t="s">
        <v>18</v>
      </c>
      <c r="M8" t="s">
        <v>17</v>
      </c>
      <c r="N8" s="1" t="str">
        <f>CONCATENATE("q",I8)</f>
        <v>q16401_1</v>
      </c>
      <c r="O8" s="86" t="str">
        <f>CONCATENATE(I8, ". ",E8)</f>
        <v>16401_1. هل قام أحد أفراد الأسرة بزراعة أية محاصيل أو إنتاج أي منتجات نباتية أخرى خلال الـ12 شهر الماضية؟</v>
      </c>
      <c r="P8" s="28" t="str">
        <f>CONCATENATE(I8, ". ",B8)</f>
        <v>16401_1. Has any member of the household harvested/produced any crops in the last year?</v>
      </c>
      <c r="R8" s="31"/>
      <c r="S8" s="28" t="s">
        <v>499</v>
      </c>
      <c r="W8" s="31"/>
      <c r="X8" s="31"/>
    </row>
    <row r="9" spans="1:30">
      <c r="A9" s="48"/>
      <c r="B9" s="186"/>
      <c r="C9" s="186"/>
      <c r="D9" s="31"/>
      <c r="E9" s="319"/>
      <c r="F9" s="319"/>
      <c r="G9" s="67"/>
      <c r="H9" s="31"/>
      <c r="I9" s="28"/>
      <c r="J9" s="1" t="s">
        <v>21</v>
      </c>
      <c r="L9"/>
      <c r="M9"/>
      <c r="R9" s="31"/>
      <c r="W9" s="31"/>
      <c r="X9" s="31"/>
    </row>
    <row r="10" spans="1:30">
      <c r="A10" s="31"/>
      <c r="B10" s="31"/>
      <c r="C10" s="31"/>
      <c r="D10" s="31"/>
      <c r="E10" s="76"/>
      <c r="F10" s="76"/>
      <c r="G10" s="181"/>
      <c r="H10" s="31"/>
      <c r="J10" s="135" t="s">
        <v>23</v>
      </c>
      <c r="K10" s="1" t="str">
        <f>CONCATENATE("selected(data('",N8,"'), '1')")</f>
        <v>selected(data('q16401_1'), '1')</v>
      </c>
      <c r="L10"/>
      <c r="M10"/>
      <c r="R10" s="19"/>
      <c r="S10" s="31"/>
      <c r="W10" s="31"/>
      <c r="X10" s="31"/>
    </row>
    <row r="11" spans="1:30" s="19" customFormat="1" ht="90">
      <c r="A11" s="48" t="str">
        <f>N11</f>
        <v>q16401_2</v>
      </c>
      <c r="B11" s="186" t="s">
        <v>678</v>
      </c>
      <c r="C11" s="186"/>
      <c r="E11" s="319" t="s">
        <v>1054</v>
      </c>
      <c r="F11" s="319"/>
      <c r="G11" s="50"/>
      <c r="H11" s="31"/>
      <c r="I11" s="28" t="str">
        <f>CONCATENATE(16401, "_2")</f>
        <v>16401_2</v>
      </c>
      <c r="J11" s="66"/>
      <c r="L11" s="9" t="s">
        <v>19</v>
      </c>
      <c r="M11" s="18"/>
      <c r="N11" s="19" t="str">
        <f>CONCATENATE("q",I11)</f>
        <v>q16401_2</v>
      </c>
      <c r="O11" s="86" t="str">
        <f>CONCATENATE(I11, ". ",E11)</f>
        <v>16401_2. كم عدد المحاصيل التي تم زراعتها/إنتاجها السنة الماضية؟</v>
      </c>
      <c r="P11" s="28" t="str">
        <f>CONCATENATE(I11, ". ",B11)</f>
        <v>16401_2. How many types of crops has the household harvested/produced in the last year?</v>
      </c>
      <c r="S11" s="31" t="str">
        <f>CONCATENATE(K19," &amp;&amp;", S8)</f>
        <v>selected(data('q16401_1'), '1') &amp;&amp;(data('valid_overall') == 1)</v>
      </c>
      <c r="V11" s="31"/>
      <c r="W11" s="31"/>
      <c r="X11" s="31"/>
      <c r="Y11" s="19" t="b">
        <v>1</v>
      </c>
    </row>
    <row r="12" spans="1:30" s="19" customFormat="1" ht="90">
      <c r="A12" s="31"/>
      <c r="B12" s="117" t="s">
        <v>679</v>
      </c>
      <c r="C12" s="117"/>
      <c r="D12" s="31"/>
      <c r="E12" s="320" t="s">
        <v>1055</v>
      </c>
      <c r="F12" s="320"/>
      <c r="G12" s="241"/>
      <c r="H12" s="31" t="s">
        <v>510</v>
      </c>
      <c r="I12" s="31"/>
      <c r="J12" s="159"/>
      <c r="L12" s="19" t="s">
        <v>60</v>
      </c>
      <c r="M12" s="19" t="s">
        <v>299</v>
      </c>
      <c r="O12" s="48" t="str">
        <f>E12</f>
        <v xml:space="preserve">أذكر المحاصيل التي تم إنتاجها خلال الـ١٢ شهر الماضية
</v>
      </c>
      <c r="P12" s="31" t="str">
        <f>B12</f>
        <v>Mention the crops that were harvested in the past 12 months?</v>
      </c>
      <c r="S12" s="31" t="str">
        <f>CONCATENATE(K19," &amp;&amp;", S8)</f>
        <v>selected(data('q16401_1'), '1') &amp;&amp;(data('valid_overall') == 1)</v>
      </c>
      <c r="V12" s="31"/>
      <c r="W12" s="31"/>
      <c r="X12" s="31"/>
      <c r="Y12" s="19" t="b">
        <v>1</v>
      </c>
    </row>
    <row r="13" spans="1:30" s="19" customFormat="1">
      <c r="A13" s="31"/>
      <c r="D13" s="31"/>
      <c r="E13" s="76"/>
      <c r="F13" s="76"/>
      <c r="G13" s="181"/>
      <c r="I13" s="31"/>
      <c r="J13" s="22" t="s">
        <v>20</v>
      </c>
      <c r="M13" s="16"/>
      <c r="O13" s="48"/>
      <c r="P13" s="31"/>
      <c r="S13" s="31"/>
      <c r="V13" s="31"/>
      <c r="W13" s="31"/>
      <c r="X13" s="31"/>
    </row>
    <row r="14" spans="1:30" s="19" customFormat="1" ht="90">
      <c r="A14" s="64"/>
      <c r="B14" s="31" t="s">
        <v>680</v>
      </c>
      <c r="C14" s="31"/>
      <c r="D14" s="64"/>
      <c r="E14" s="76" t="s">
        <v>1056</v>
      </c>
      <c r="F14" s="76"/>
      <c r="G14" s="183"/>
      <c r="H14" s="31" t="s">
        <v>510</v>
      </c>
      <c r="I14" s="31"/>
      <c r="J14" s="66"/>
      <c r="L14" s="19" t="s">
        <v>60</v>
      </c>
      <c r="M14" s="19" t="s">
        <v>686</v>
      </c>
      <c r="O14" s="48" t="str">
        <f>E14</f>
        <v>عدل معلومات المحاصيل</v>
      </c>
      <c r="P14" s="31" t="str">
        <f>B14</f>
        <v>Edit crop information.</v>
      </c>
      <c r="S14" s="31" t="str">
        <f>CONCATENATE(K19," &amp;&amp;", S8)</f>
        <v>selected(data('q16401_1'), '1') &amp;&amp;(data('valid_overall') == 1)</v>
      </c>
      <c r="V14" s="31"/>
      <c r="W14" s="31"/>
      <c r="X14" s="31"/>
      <c r="Y14" s="19" t="b">
        <v>1</v>
      </c>
      <c r="Z14" s="19" t="b">
        <v>1</v>
      </c>
      <c r="AA14" s="19" t="b">
        <v>1</v>
      </c>
    </row>
    <row r="15" spans="1:30" s="18" customFormat="1">
      <c r="A15" s="30"/>
      <c r="B15" s="131"/>
      <c r="C15" s="131"/>
      <c r="D15" s="31"/>
      <c r="E15" s="242"/>
      <c r="F15" s="242"/>
      <c r="G15" s="182"/>
      <c r="H15" s="129"/>
      <c r="I15" s="30"/>
      <c r="L15" s="152" t="s">
        <v>376</v>
      </c>
      <c r="M15" s="153" t="s">
        <v>681</v>
      </c>
      <c r="N15" s="152" t="s">
        <v>683</v>
      </c>
      <c r="O15" s="48"/>
      <c r="P15" s="127"/>
      <c r="R15" s="30"/>
      <c r="S15" s="31"/>
      <c r="V15" s="30"/>
      <c r="W15" s="31"/>
      <c r="X15" s="31"/>
      <c r="Y15" s="18" t="b">
        <v>1</v>
      </c>
    </row>
    <row r="16" spans="1:30" s="18" customFormat="1">
      <c r="A16" s="30"/>
      <c r="B16" s="131"/>
      <c r="C16" s="131"/>
      <c r="D16" s="31"/>
      <c r="E16" s="242"/>
      <c r="F16" s="242"/>
      <c r="G16" s="182"/>
      <c r="H16" s="129"/>
      <c r="I16" s="30"/>
      <c r="L16" s="152" t="s">
        <v>376</v>
      </c>
      <c r="M16" s="153" t="s">
        <v>682</v>
      </c>
      <c r="N16" s="152" t="s">
        <v>684</v>
      </c>
      <c r="O16" s="48"/>
      <c r="P16" s="127"/>
      <c r="S16" s="30"/>
      <c r="V16" s="30"/>
      <c r="W16" s="31"/>
      <c r="X16" s="31"/>
      <c r="Y16" s="18" t="b">
        <v>1</v>
      </c>
    </row>
    <row r="17" spans="1:27" s="18" customFormat="1">
      <c r="A17" s="30"/>
      <c r="B17" s="131"/>
      <c r="C17" s="131"/>
      <c r="D17" s="31"/>
      <c r="E17" s="242"/>
      <c r="F17" s="242"/>
      <c r="G17" s="182"/>
      <c r="H17" s="129"/>
      <c r="I17" s="30"/>
      <c r="J17" s="21" t="s">
        <v>21</v>
      </c>
      <c r="L17" s="152"/>
      <c r="M17" s="153"/>
      <c r="N17" s="152"/>
      <c r="O17" s="48"/>
      <c r="P17" s="127"/>
      <c r="S17" s="30"/>
      <c r="V17" s="30"/>
      <c r="W17" s="31"/>
      <c r="X17" s="31"/>
    </row>
    <row r="18" spans="1:27" s="18" customFormat="1">
      <c r="A18" s="30"/>
      <c r="B18" s="131"/>
      <c r="C18" s="131"/>
      <c r="D18" s="31"/>
      <c r="E18" s="242"/>
      <c r="F18" s="242"/>
      <c r="G18" s="182"/>
      <c r="H18" s="129"/>
      <c r="I18" s="30"/>
      <c r="J18" s="139" t="s">
        <v>24</v>
      </c>
      <c r="L18" s="152"/>
      <c r="M18" s="153"/>
      <c r="N18" s="152"/>
      <c r="O18" s="48"/>
      <c r="P18" s="127"/>
      <c r="S18" s="30"/>
      <c r="V18" s="30"/>
      <c r="W18" s="31"/>
      <c r="X18" s="31"/>
    </row>
    <row r="19" spans="1:27" s="18" customFormat="1">
      <c r="A19" s="30"/>
      <c r="B19" s="131"/>
      <c r="C19" s="131"/>
      <c r="D19" s="31"/>
      <c r="E19" s="242"/>
      <c r="F19" s="242"/>
      <c r="G19" s="182"/>
      <c r="H19" s="129"/>
      <c r="I19" s="30"/>
      <c r="J19" s="139" t="s">
        <v>51</v>
      </c>
      <c r="K19" s="18" t="str">
        <f>CONCATENATE("selected(data('",N8,"'), '1')")</f>
        <v>selected(data('q16401_1'), '1')</v>
      </c>
      <c r="L19" s="152"/>
      <c r="M19" s="153"/>
      <c r="N19" s="152"/>
      <c r="O19" s="48"/>
      <c r="P19" s="127"/>
      <c r="S19" s="30"/>
      <c r="V19" s="30"/>
      <c r="W19" s="31"/>
      <c r="X19" s="31"/>
    </row>
    <row r="20" spans="1:27" s="18" customFormat="1">
      <c r="A20" s="30"/>
      <c r="B20" s="131"/>
      <c r="C20" s="131"/>
      <c r="D20" s="31"/>
      <c r="E20" s="242"/>
      <c r="F20" s="242"/>
      <c r="G20" s="182"/>
      <c r="H20" s="129"/>
      <c r="I20" s="30"/>
      <c r="J20" s="21" t="s">
        <v>20</v>
      </c>
      <c r="L20" s="152"/>
      <c r="M20" s="153"/>
      <c r="N20" s="152"/>
      <c r="O20" s="48"/>
      <c r="P20" s="127"/>
      <c r="R20" s="30"/>
      <c r="S20" s="30"/>
      <c r="V20" s="30"/>
      <c r="W20" s="30"/>
      <c r="X20" s="30"/>
    </row>
    <row r="21" spans="1:27" s="18" customFormat="1" ht="165">
      <c r="A21" s="30"/>
      <c r="B21" s="131" t="str">
        <f>CONCATENATE("You stated there were {{data.",N11, "}} different types of  crops. You started {{data.",N15,"}} crops and finished {{data.",N16,"}}.")</f>
        <v>You stated there were {{data.q16401_2}} different types of  crops. You started {{data.zcrop_count_1}} crops and finished {{data.zcrop_count_2}}.</v>
      </c>
      <c r="C21" s="131"/>
      <c r="D21" s="31"/>
      <c r="E21" s="321" t="s">
        <v>1057</v>
      </c>
      <c r="F21" s="321"/>
      <c r="G21" s="182"/>
      <c r="H21" s="129"/>
      <c r="I21" s="30"/>
      <c r="J21" s="140"/>
      <c r="L21" s="152" t="s">
        <v>22</v>
      </c>
      <c r="M21" s="153"/>
      <c r="N21" s="152"/>
      <c r="O21" s="48" t="str">
        <f>E21</f>
        <v>لقد ذكرت أن عدد الأنواع المختلفة من المحاصيل:  {{data.q16401_2}}. لقد بدأت بالعدد: {{data.zcrop_count_1}} وانتهيت بالعدد: {{data.zcrop_count_2}}.</v>
      </c>
      <c r="P21" s="127" t="str">
        <f>B21</f>
        <v>You stated there were {{data.q16401_2}} different types of  crops. You started {{data.zcrop_count_1}} crops and finished {{data.zcrop_count_2}}.</v>
      </c>
      <c r="R21" s="30"/>
      <c r="S21" s="30"/>
      <c r="V21" s="30"/>
      <c r="W21" s="30"/>
      <c r="X21" s="30"/>
      <c r="Y21" s="18" t="b">
        <v>1</v>
      </c>
    </row>
    <row r="22" spans="1:27" s="18" customFormat="1" ht="409.5">
      <c r="A22" s="30"/>
      <c r="B22" s="131"/>
      <c r="C22" s="48" t="str">
        <f xml:space="preserve"> CONCATENATE("Constraints: ",W22)</f>
        <v>Constraints: يجب إستكمال بيانات جميع المحاصيل</v>
      </c>
      <c r="D22" s="31"/>
      <c r="E22" s="295"/>
      <c r="F22" s="48" t="str">
        <f>CONCATENATE("Constraints: ", X22)</f>
        <v>Constraints: Need to complete all crops</v>
      </c>
      <c r="G22" s="182"/>
      <c r="H22" s="129"/>
      <c r="I22" s="30"/>
      <c r="J22" s="140"/>
      <c r="L22" s="434" t="s">
        <v>18</v>
      </c>
      <c r="M22" s="71" t="s">
        <v>1594</v>
      </c>
      <c r="N22" s="174" t="s">
        <v>804</v>
      </c>
      <c r="O22" s="48"/>
      <c r="P22" s="127"/>
      <c r="R22" s="30"/>
      <c r="S22" s="30" t="str">
        <f>CONCATENATE(K19," &amp;&amp;", S8)</f>
        <v>selected(data('q16401_1'), '1') &amp;&amp;(data('valid_overall') == 1)</v>
      </c>
      <c r="V22" s="30" t="str">
        <f>CONCATENATE("data('valid_overall') == 0 || selected(data('",N8,"'), '2') || ((data('",N15,"') == data('",N16,"')) &amp;&amp; (data('",N15,"') == data('",N11,"')) &amp;&amp; (data('",N11,"') == data('",N16,"')))")</f>
        <v>data('valid_overall') == 0 || selected(data('q16401_1'), '2') || ((data('zcrop_count_1') == data('zcrop_count_2')) &amp;&amp; (data('zcrop_count_1') == data('q16401_2')) &amp;&amp; (data('q16401_2') == data('zcrop_count_2')))</v>
      </c>
      <c r="W22" s="30" t="s">
        <v>1058</v>
      </c>
      <c r="X22" s="30" t="s">
        <v>690</v>
      </c>
      <c r="Y22" s="18" t="b">
        <v>1</v>
      </c>
    </row>
    <row r="23" spans="1:27" s="19" customFormat="1" ht="15.75">
      <c r="A23" s="30"/>
      <c r="B23" s="129"/>
      <c r="C23" s="129"/>
      <c r="D23" s="31"/>
      <c r="E23" s="172"/>
      <c r="F23" s="172"/>
      <c r="G23" s="129"/>
      <c r="H23" s="129"/>
      <c r="I23" s="31"/>
      <c r="J23" s="21" t="s">
        <v>21</v>
      </c>
      <c r="M23" s="16"/>
      <c r="O23" s="48"/>
      <c r="P23" s="31"/>
      <c r="Q23" s="31"/>
      <c r="R23" s="31"/>
      <c r="S23" s="31"/>
      <c r="V23" s="31"/>
      <c r="W23" s="30"/>
      <c r="X23" s="30"/>
      <c r="Y23" s="157"/>
    </row>
    <row r="24" spans="1:27" s="14" customFormat="1">
      <c r="A24" s="1"/>
      <c r="B24" s="1"/>
      <c r="C24" s="1"/>
      <c r="D24" s="1"/>
      <c r="E24" s="40"/>
      <c r="F24" s="40"/>
      <c r="G24" s="1"/>
      <c r="H24" s="1"/>
      <c r="J24" s="135" t="s">
        <v>24</v>
      </c>
      <c r="O24" s="86"/>
      <c r="P24" s="28"/>
      <c r="S24" s="28"/>
      <c r="V24" s="28"/>
      <c r="W24" s="30"/>
      <c r="X24" s="30"/>
      <c r="Z24" s="19"/>
      <c r="AA24" s="19"/>
    </row>
    <row r="46" ht="12" customHeight="1"/>
    <row r="47" ht="12" customHeight="1"/>
    <row r="72" ht="17.25" customHeight="1"/>
    <row r="75" ht="17.25" customHeight="1"/>
    <row r="76" ht="17.25" customHeight="1"/>
    <row r="77" ht="17.25" customHeight="1"/>
    <row r="147" ht="15" customHeight="1"/>
    <row r="148" ht="15" customHeight="1"/>
    <row r="155" ht="12" customHeight="1"/>
    <row r="156" ht="13.5" customHeight="1"/>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4"/>
  <sheetViews>
    <sheetView topLeftCell="D1" workbookViewId="0">
      <pane ySplit="2" topLeftCell="A257" activePane="bottomLeft" state="frozen"/>
      <selection pane="bottomLeft" activeCell="L262" sqref="L262:M262"/>
    </sheetView>
  </sheetViews>
  <sheetFormatPr defaultColWidth="8.85546875" defaultRowHeight="15"/>
  <cols>
    <col min="1" max="1" width="12.28515625" style="64" customWidth="1"/>
    <col min="2" max="3" width="15.7109375" style="31" customWidth="1"/>
    <col min="4" max="4" width="15.7109375" style="116" customWidth="1"/>
    <col min="5" max="6" width="15.7109375" style="181" customWidth="1"/>
    <col min="7" max="7" width="15.7109375" style="116" customWidth="1"/>
    <col min="8" max="8" width="17.42578125" style="30" customWidth="1"/>
    <col min="9" max="9" width="10.42578125" style="64" bestFit="1" customWidth="1"/>
    <col min="10" max="10" width="10.42578125" style="64" customWidth="1"/>
    <col min="11" max="11" width="26.85546875" style="64" bestFit="1" customWidth="1"/>
    <col min="12" max="12" width="15.42578125" style="64" customWidth="1"/>
    <col min="13" max="13" width="19.42578125" style="64" bestFit="1" customWidth="1"/>
    <col min="14" max="14" width="15" style="64" customWidth="1"/>
    <col min="15" max="16" width="26.42578125" style="31" customWidth="1"/>
    <col min="17" max="18" width="18.42578125" style="31" customWidth="1"/>
    <col min="19" max="19" width="21" style="31" customWidth="1"/>
    <col min="20" max="20" width="18.42578125" style="31" customWidth="1"/>
    <col min="21" max="21" width="18.140625" style="64" customWidth="1"/>
    <col min="22" max="22" width="42.28515625" style="64" customWidth="1"/>
    <col min="23" max="24" width="18.140625" style="64" customWidth="1"/>
    <col min="25" max="25" width="11" style="64" bestFit="1" customWidth="1"/>
    <col min="26" max="26" width="8.85546875" style="64"/>
    <col min="27" max="27" width="24.140625" style="64" customWidth="1"/>
    <col min="28" max="28" width="11.140625" style="64" customWidth="1"/>
    <col min="29" max="29" width="17.42578125" style="64" customWidth="1"/>
    <col min="30" max="30" width="14.42578125" style="64" customWidth="1"/>
    <col min="31" max="16384" width="8.85546875" style="64"/>
  </cols>
  <sheetData>
    <row r="1" spans="1:27" s="332" customFormat="1">
      <c r="A1" s="332" t="s">
        <v>5</v>
      </c>
      <c r="B1" s="332" t="s">
        <v>5</v>
      </c>
      <c r="C1" s="332" t="s">
        <v>5</v>
      </c>
      <c r="D1" s="332" t="s">
        <v>5</v>
      </c>
      <c r="E1" s="332" t="s">
        <v>5</v>
      </c>
      <c r="F1" s="332" t="s">
        <v>5</v>
      </c>
      <c r="G1" s="332" t="s">
        <v>5</v>
      </c>
      <c r="H1" s="332" t="s">
        <v>5</v>
      </c>
      <c r="I1" s="332" t="s">
        <v>5</v>
      </c>
      <c r="J1" s="334" t="s">
        <v>0</v>
      </c>
      <c r="K1" s="334" t="s">
        <v>1</v>
      </c>
      <c r="L1" s="332" t="s">
        <v>2</v>
      </c>
      <c r="M1" s="332" t="s">
        <v>3</v>
      </c>
      <c r="N1" s="332" t="s">
        <v>4</v>
      </c>
      <c r="O1" s="353" t="s">
        <v>1282</v>
      </c>
      <c r="P1" s="332" t="s">
        <v>1283</v>
      </c>
      <c r="Q1" s="51" t="s">
        <v>1286</v>
      </c>
      <c r="R1" s="52" t="s">
        <v>1287</v>
      </c>
      <c r="S1" s="52" t="s">
        <v>7</v>
      </c>
      <c r="T1" s="332" t="s">
        <v>47</v>
      </c>
      <c r="U1" s="332" t="s">
        <v>148</v>
      </c>
      <c r="V1" s="332" t="s">
        <v>25</v>
      </c>
      <c r="W1" s="52" t="s">
        <v>1288</v>
      </c>
      <c r="X1" s="52" t="s">
        <v>1289</v>
      </c>
      <c r="Y1" s="52" t="s">
        <v>6</v>
      </c>
      <c r="Z1" s="160" t="s">
        <v>374</v>
      </c>
      <c r="AA1" s="160" t="s">
        <v>375</v>
      </c>
    </row>
    <row r="2" spans="1:27" s="52" customFormat="1" ht="45">
      <c r="A2" s="102" t="s">
        <v>353</v>
      </c>
      <c r="B2" s="95" t="s">
        <v>354</v>
      </c>
      <c r="C2" s="102" t="s">
        <v>1187</v>
      </c>
      <c r="D2" s="95" t="s">
        <v>358</v>
      </c>
      <c r="E2" s="95" t="s">
        <v>355</v>
      </c>
      <c r="F2" s="102" t="s">
        <v>1186</v>
      </c>
      <c r="G2" s="102" t="s">
        <v>357</v>
      </c>
      <c r="H2" s="74" t="s">
        <v>356</v>
      </c>
      <c r="I2" s="74" t="s">
        <v>426</v>
      </c>
      <c r="J2" s="15"/>
      <c r="K2" s="15"/>
      <c r="O2" s="62"/>
      <c r="P2" s="62"/>
      <c r="Q2" s="62"/>
      <c r="R2" s="62"/>
      <c r="S2" s="62"/>
      <c r="T2" s="62"/>
    </row>
    <row r="3" spans="1:27" s="52" customFormat="1">
      <c r="A3" s="104" t="s">
        <v>364</v>
      </c>
      <c r="B3" s="104" t="s">
        <v>365</v>
      </c>
      <c r="C3" s="104" t="s">
        <v>364</v>
      </c>
      <c r="D3" s="104" t="s">
        <v>364</v>
      </c>
      <c r="E3" s="104" t="s">
        <v>365</v>
      </c>
      <c r="F3" s="104" t="s">
        <v>364</v>
      </c>
      <c r="G3" s="104" t="s">
        <v>364</v>
      </c>
      <c r="H3" s="223" t="s">
        <v>364</v>
      </c>
      <c r="I3" s="223" t="s">
        <v>364</v>
      </c>
      <c r="J3" s="15"/>
      <c r="K3" s="15"/>
      <c r="O3" s="62"/>
      <c r="P3" s="62"/>
      <c r="Q3" s="62"/>
      <c r="R3" s="62"/>
      <c r="S3" s="62"/>
      <c r="T3" s="62"/>
    </row>
    <row r="4" spans="1:27" s="52" customFormat="1">
      <c r="A4" s="413"/>
      <c r="B4" s="413"/>
      <c r="C4" s="413"/>
      <c r="D4" s="413"/>
      <c r="E4" s="413"/>
      <c r="F4" s="413"/>
      <c r="G4" s="413"/>
      <c r="H4" s="414"/>
      <c r="I4" s="414"/>
      <c r="J4" s="178" t="s">
        <v>23</v>
      </c>
      <c r="K4" s="117" t="s">
        <v>587</v>
      </c>
      <c r="O4" s="62"/>
      <c r="P4" s="62"/>
      <c r="Q4" s="62"/>
      <c r="R4" s="62"/>
      <c r="S4" s="62"/>
      <c r="T4" s="62"/>
    </row>
    <row r="5" spans="1:27" s="52" customFormat="1">
      <c r="A5" s="104"/>
      <c r="B5" s="104"/>
      <c r="C5" s="104"/>
      <c r="D5" s="185"/>
      <c r="E5" s="185"/>
      <c r="F5" s="185"/>
      <c r="G5" s="185"/>
      <c r="H5" s="30"/>
      <c r="I5" s="223"/>
      <c r="J5" s="19" t="s">
        <v>20</v>
      </c>
      <c r="K5" s="15"/>
      <c r="O5" s="62"/>
      <c r="P5" s="62"/>
      <c r="Q5" s="62"/>
      <c r="R5" s="62"/>
      <c r="S5" s="62"/>
      <c r="T5" s="62"/>
    </row>
    <row r="6" spans="1:27" s="16" customFormat="1" ht="60">
      <c r="A6" s="104"/>
      <c r="B6" s="117" t="s">
        <v>593</v>
      </c>
      <c r="C6" s="117"/>
      <c r="D6" s="185"/>
      <c r="E6" s="322" t="s">
        <v>1059</v>
      </c>
      <c r="F6" s="322"/>
      <c r="G6" s="185"/>
      <c r="H6" s="31"/>
      <c r="I6" s="223"/>
      <c r="J6" s="54"/>
      <c r="K6" s="54"/>
      <c r="L6" s="19" t="s">
        <v>22</v>
      </c>
      <c r="O6" s="31" t="str">
        <f>E6</f>
        <v xml:space="preserve"> 16.5 دخول زراعية أخري</v>
      </c>
      <c r="P6" s="31" t="str">
        <f>B6</f>
        <v>Chapter 16.5 Other agricultural income</v>
      </c>
      <c r="Q6" s="63"/>
      <c r="R6" s="63"/>
      <c r="S6" s="63"/>
      <c r="T6" s="63"/>
    </row>
    <row r="7" spans="1:27" s="19" customFormat="1" ht="150">
      <c r="B7" s="30" t="s">
        <v>1403</v>
      </c>
      <c r="C7" s="30"/>
      <c r="D7" s="181"/>
      <c r="E7" s="244" t="s">
        <v>1558</v>
      </c>
      <c r="F7" s="181"/>
      <c r="G7" s="181"/>
      <c r="H7" s="30"/>
      <c r="I7" s="16"/>
      <c r="L7" s="19" t="s">
        <v>22</v>
      </c>
      <c r="O7" s="30" t="str">
        <f>E7</f>
        <v>الآن أريد أن أسألك عن مبيعات الأسرة من أي منتجات أخرى زراعية غير المحاصيل خلال الـ12 شهر الماضية</v>
      </c>
      <c r="P7" s="30" t="str">
        <f>B7</f>
        <v>Preamble: Now I would like to ask you about other household sales of produce (other than crops) during the past 12 months</v>
      </c>
      <c r="Q7" s="31"/>
      <c r="R7" s="31"/>
      <c r="S7" s="31"/>
      <c r="T7" s="31"/>
      <c r="U7" s="16"/>
      <c r="V7" s="16"/>
      <c r="W7" s="16"/>
      <c r="Y7" s="19" t="b">
        <v>1</v>
      </c>
    </row>
    <row r="8" spans="1:27" s="183" customFormat="1" ht="30">
      <c r="A8" s="285"/>
      <c r="B8" s="352"/>
      <c r="C8" s="352"/>
      <c r="D8" s="352"/>
      <c r="E8" s="352"/>
      <c r="F8" s="352"/>
      <c r="G8" s="285"/>
      <c r="H8" s="285"/>
      <c r="I8" s="285"/>
      <c r="J8" s="369"/>
      <c r="K8" s="285"/>
      <c r="L8" s="63" t="s">
        <v>376</v>
      </c>
      <c r="M8" s="30" t="s">
        <v>1570</v>
      </c>
      <c r="N8" s="352" t="s">
        <v>1564</v>
      </c>
      <c r="O8" s="352"/>
      <c r="P8" s="352"/>
      <c r="Q8" s="285"/>
      <c r="R8" s="285"/>
      <c r="S8" s="285"/>
      <c r="T8" s="285"/>
      <c r="U8" s="285"/>
      <c r="V8" s="285"/>
      <c r="W8" s="285"/>
      <c r="X8" s="285"/>
      <c r="Y8" s="19" t="b">
        <v>1</v>
      </c>
    </row>
    <row r="9" spans="1:27" ht="30">
      <c r="A9" s="285"/>
      <c r="B9" s="352"/>
      <c r="C9" s="352"/>
      <c r="D9" s="352"/>
      <c r="E9" s="352"/>
      <c r="F9" s="352"/>
      <c r="G9" s="285"/>
      <c r="H9" s="285"/>
      <c r="I9" s="285"/>
      <c r="J9" s="369"/>
      <c r="K9" s="285"/>
      <c r="L9" s="63" t="s">
        <v>376</v>
      </c>
      <c r="M9" s="30" t="s">
        <v>1571</v>
      </c>
      <c r="N9" s="352" t="s">
        <v>1565</v>
      </c>
      <c r="O9" s="352"/>
      <c r="P9" s="352"/>
      <c r="Q9" s="285"/>
      <c r="R9" s="285"/>
      <c r="S9" s="285"/>
      <c r="T9" s="285"/>
      <c r="U9" s="285"/>
      <c r="V9" s="285"/>
      <c r="W9" s="285"/>
      <c r="X9" s="285"/>
      <c r="Y9" s="19" t="b">
        <v>1</v>
      </c>
    </row>
    <row r="10" spans="1:27" ht="30">
      <c r="A10" s="285"/>
      <c r="B10" s="352"/>
      <c r="C10" s="407"/>
      <c r="D10" s="352"/>
      <c r="E10" s="352"/>
      <c r="F10" s="407"/>
      <c r="G10" s="285"/>
      <c r="H10" s="285"/>
      <c r="I10" s="285"/>
      <c r="J10" s="369"/>
      <c r="K10" s="285"/>
      <c r="L10" s="63" t="s">
        <v>376</v>
      </c>
      <c r="M10" s="30" t="s">
        <v>1572</v>
      </c>
      <c r="N10" s="352" t="s">
        <v>1566</v>
      </c>
      <c r="O10" s="407"/>
      <c r="P10" s="407"/>
      <c r="Q10" s="285"/>
      <c r="R10" s="285"/>
      <c r="S10" s="285"/>
      <c r="T10" s="285"/>
      <c r="U10" s="285"/>
      <c r="V10" s="352"/>
      <c r="W10" s="31"/>
      <c r="X10" s="285"/>
      <c r="Y10" s="19" t="b">
        <v>1</v>
      </c>
    </row>
    <row r="11" spans="1:27" s="183" customFormat="1" ht="30">
      <c r="A11" s="285"/>
      <c r="B11" s="352"/>
      <c r="C11" s="352"/>
      <c r="D11" s="352"/>
      <c r="E11" s="352"/>
      <c r="F11" s="352"/>
      <c r="G11" s="285"/>
      <c r="H11" s="285"/>
      <c r="I11" s="285"/>
      <c r="J11" s="369"/>
      <c r="K11" s="285"/>
      <c r="L11" s="63" t="s">
        <v>376</v>
      </c>
      <c r="M11" s="30" t="s">
        <v>1561</v>
      </c>
      <c r="N11" s="352" t="s">
        <v>1567</v>
      </c>
      <c r="O11" s="352"/>
      <c r="P11" s="352"/>
      <c r="Q11" s="285"/>
      <c r="R11" s="285"/>
      <c r="S11" s="285"/>
      <c r="T11" s="285"/>
      <c r="U11" s="285"/>
      <c r="V11" s="285"/>
      <c r="W11" s="285"/>
      <c r="X11" s="285"/>
      <c r="Y11" s="19" t="b">
        <v>1</v>
      </c>
    </row>
    <row r="12" spans="1:27" ht="30">
      <c r="A12" s="285"/>
      <c r="B12" s="352"/>
      <c r="C12" s="352"/>
      <c r="D12" s="352"/>
      <c r="E12" s="352"/>
      <c r="F12" s="352"/>
      <c r="G12" s="285"/>
      <c r="H12" s="285"/>
      <c r="I12" s="285"/>
      <c r="J12" s="369"/>
      <c r="K12" s="285"/>
      <c r="L12" s="63" t="s">
        <v>376</v>
      </c>
      <c r="M12" s="30" t="s">
        <v>1562</v>
      </c>
      <c r="N12" s="352" t="s">
        <v>1568</v>
      </c>
      <c r="O12" s="352"/>
      <c r="P12" s="352"/>
      <c r="Q12" s="285"/>
      <c r="R12" s="285"/>
      <c r="S12" s="285"/>
      <c r="T12" s="285"/>
      <c r="U12" s="285"/>
      <c r="V12" s="285"/>
      <c r="W12" s="285"/>
      <c r="X12" s="285"/>
      <c r="Y12" s="19" t="b">
        <v>1</v>
      </c>
    </row>
    <row r="13" spans="1:27" ht="30">
      <c r="A13" s="285"/>
      <c r="B13" s="352"/>
      <c r="C13" s="407"/>
      <c r="D13" s="352"/>
      <c r="E13" s="352"/>
      <c r="F13" s="407"/>
      <c r="G13" s="285"/>
      <c r="H13" s="285"/>
      <c r="I13" s="285"/>
      <c r="J13" s="369"/>
      <c r="K13" s="285"/>
      <c r="L13" s="63" t="s">
        <v>376</v>
      </c>
      <c r="M13" s="30" t="s">
        <v>1563</v>
      </c>
      <c r="N13" s="352" t="s">
        <v>1569</v>
      </c>
      <c r="O13" s="407"/>
      <c r="P13" s="407"/>
      <c r="Q13" s="285"/>
      <c r="R13" s="285"/>
      <c r="S13" s="285"/>
      <c r="T13" s="285"/>
      <c r="U13" s="285"/>
      <c r="V13" s="352"/>
      <c r="W13" s="31"/>
      <c r="X13" s="285"/>
      <c r="Y13" s="19" t="b">
        <v>1</v>
      </c>
    </row>
    <row r="14" spans="1:27" ht="60">
      <c r="A14" s="184" t="s">
        <v>1354</v>
      </c>
      <c r="B14" s="30" t="s">
        <v>1405</v>
      </c>
      <c r="C14" s="30"/>
      <c r="D14" s="116" t="s">
        <v>649</v>
      </c>
      <c r="E14" s="454" t="s">
        <v>1511</v>
      </c>
      <c r="F14" s="323"/>
      <c r="G14" s="67"/>
      <c r="H14" s="30" t="str">
        <f>CONCATENATE("2. No ---&gt; next item")</f>
        <v>2. No ---&gt; next item</v>
      </c>
      <c r="I14" s="184">
        <v>16501</v>
      </c>
      <c r="L14" s="19"/>
      <c r="O14" s="30"/>
      <c r="P14" s="30"/>
      <c r="S14" s="117"/>
      <c r="Y14" s="19"/>
    </row>
    <row r="15" spans="1:27" ht="60">
      <c r="A15" s="184" t="s">
        <v>1355</v>
      </c>
      <c r="B15" s="31" t="s">
        <v>672</v>
      </c>
      <c r="C15" s="48" t="s">
        <v>1356</v>
      </c>
      <c r="E15" s="181" t="s">
        <v>1512</v>
      </c>
      <c r="F15" s="48" t="s">
        <v>1357</v>
      </c>
      <c r="I15" s="184">
        <f t="shared" ref="I15:I21" si="0">I14+1</f>
        <v>16502</v>
      </c>
      <c r="J15" s="66"/>
      <c r="L15" s="19"/>
      <c r="O15" s="30"/>
      <c r="P15" s="30"/>
      <c r="Q15" s="116"/>
      <c r="Y15" s="19"/>
    </row>
    <row r="16" spans="1:27" ht="60">
      <c r="A16" s="184" t="s">
        <v>1358</v>
      </c>
      <c r="B16" s="30" t="str">
        <f>CONCATENATE("Who from the household decided most on  [item]?")</f>
        <v>Who from the household decided most on  [item]?</v>
      </c>
      <c r="C16" s="407"/>
      <c r="E16" s="63" t="s">
        <v>1513</v>
      </c>
      <c r="F16" s="407"/>
      <c r="H16" s="30" t="s">
        <v>409</v>
      </c>
      <c r="I16" s="184">
        <f t="shared" si="0"/>
        <v>16503</v>
      </c>
      <c r="J16" s="66"/>
      <c r="L16" s="19"/>
      <c r="O16" s="30"/>
      <c r="P16" s="30"/>
      <c r="Q16" s="116"/>
      <c r="Y16" s="19"/>
    </row>
    <row r="17" spans="1:25" s="183" customFormat="1" ht="60">
      <c r="A17" s="184" t="s">
        <v>1359</v>
      </c>
      <c r="B17" s="30" t="str">
        <f>CONCATENATE("Who from the household worked the most on [item] ?")</f>
        <v>Who from the household worked the most on [item] ?</v>
      </c>
      <c r="C17" s="30"/>
      <c r="D17" s="30"/>
      <c r="E17" s="30" t="str">
        <f>CONCATENATE("من من أفراد الأسرة عمل أكثر على [item]؟")</f>
        <v>من من أفراد الأسرة عمل أكثر على [item]؟</v>
      </c>
      <c r="F17" s="404"/>
      <c r="H17" s="49" t="s">
        <v>409</v>
      </c>
      <c r="I17" s="184">
        <f t="shared" si="0"/>
        <v>16504</v>
      </c>
      <c r="J17" s="282"/>
      <c r="K17" s="181"/>
      <c r="L17" s="50"/>
      <c r="M17" s="211"/>
      <c r="N17" s="31"/>
      <c r="O17" s="407"/>
      <c r="P17" s="407"/>
      <c r="Q17" s="50"/>
      <c r="R17" s="50"/>
      <c r="S17" s="181"/>
      <c r="T17" s="50"/>
      <c r="U17" s="50"/>
      <c r="V17" s="181"/>
      <c r="W17" s="283"/>
      <c r="X17" s="181"/>
      <c r="Y17" s="19"/>
    </row>
    <row r="18" spans="1:25" s="183" customFormat="1" ht="60">
      <c r="A18" s="184" t="s">
        <v>1360</v>
      </c>
      <c r="B18" s="30" t="str">
        <f>CONCATENATE("Did anyone else from the household work on [item] ?")</f>
        <v>Did anyone else from the household work on [item] ?</v>
      </c>
      <c r="C18" s="30"/>
      <c r="D18" s="31" t="s">
        <v>533</v>
      </c>
      <c r="E18" s="30" t="str">
        <f>CONCATENATE("هل عمل أي شخص آخر من الأسرة على [item]؟
")</f>
        <v xml:space="preserve">هل عمل أي شخص آخر من الأسرة على [item]؟
</v>
      </c>
      <c r="F18" s="404"/>
      <c r="G18" s="67" t="s">
        <v>534</v>
      </c>
      <c r="H18" s="49"/>
      <c r="I18" s="184">
        <f t="shared" si="0"/>
        <v>16505</v>
      </c>
      <c r="J18" s="284"/>
      <c r="K18" s="181"/>
      <c r="L18" s="50"/>
      <c r="M18" s="211"/>
      <c r="N18" s="31"/>
      <c r="O18" s="407"/>
      <c r="P18" s="407"/>
      <c r="Q18" s="50"/>
      <c r="R18" s="50"/>
      <c r="S18" s="181"/>
      <c r="T18" s="50"/>
      <c r="U18" s="50"/>
      <c r="V18" s="50"/>
      <c r="W18" s="181"/>
      <c r="X18" s="181"/>
      <c r="Y18" s="19"/>
    </row>
    <row r="19" spans="1:25" s="183" customFormat="1" ht="60">
      <c r="A19" s="184" t="s">
        <v>1361</v>
      </c>
      <c r="B19" s="181" t="str">
        <f>CONCATENATE("Who from the household worked second most on [item]?")</f>
        <v>Who from the household worked second most on [item]?</v>
      </c>
      <c r="C19" s="407" t="s">
        <v>1364</v>
      </c>
      <c r="D19" s="181"/>
      <c r="E19" s="30" t="str">
        <f>CONCATENATE("من ثانى فرد من أفراد الأسرة عمل أكثر على [item]؟")</f>
        <v>من ثانى فرد من أفراد الأسرة عمل أكثر على [item]؟</v>
      </c>
      <c r="F19" s="407" t="s">
        <v>1365</v>
      </c>
      <c r="H19" s="49"/>
      <c r="I19" s="184">
        <f t="shared" si="0"/>
        <v>16506</v>
      </c>
      <c r="J19" s="49"/>
      <c r="K19" s="181"/>
      <c r="L19" s="50"/>
      <c r="M19" s="211"/>
      <c r="N19" s="31"/>
      <c r="O19" s="407"/>
      <c r="P19" s="407"/>
      <c r="Q19" s="50"/>
      <c r="R19" s="50"/>
      <c r="S19" s="181"/>
      <c r="T19" s="50"/>
      <c r="U19" s="50"/>
      <c r="V19" s="31"/>
      <c r="W19" s="31"/>
      <c r="X19" s="31"/>
      <c r="Y19" s="19"/>
    </row>
    <row r="20" spans="1:25" s="183" customFormat="1" ht="75">
      <c r="A20" s="184" t="s">
        <v>1362</v>
      </c>
      <c r="B20" s="30" t="str">
        <f>CONCATENATE("Did anyone else from the household work on on [item] ?")</f>
        <v>Did anyone else from the household work on on [item] ?</v>
      </c>
      <c r="C20" s="30"/>
      <c r="D20" s="31" t="s">
        <v>533</v>
      </c>
      <c r="E20" s="30" t="str">
        <f>CONCATENATE("هل عمل أي شخص آخر من الأسرة على [item]؟
")</f>
        <v xml:space="preserve">هل عمل أي شخص آخر من الأسرة على [item]؟
</v>
      </c>
      <c r="F20" s="404"/>
      <c r="G20" s="67" t="s">
        <v>534</v>
      </c>
      <c r="H20" s="233"/>
      <c r="I20" s="184">
        <f t="shared" si="0"/>
        <v>16507</v>
      </c>
      <c r="J20" s="49"/>
      <c r="K20" s="181"/>
      <c r="L20" s="50"/>
      <c r="M20" s="211"/>
      <c r="N20" s="31"/>
      <c r="O20" s="407"/>
      <c r="P20" s="407"/>
      <c r="Q20" s="50"/>
      <c r="R20" s="50"/>
      <c r="S20" s="181"/>
      <c r="T20" s="50"/>
      <c r="U20" s="50"/>
      <c r="V20" s="181"/>
      <c r="W20" s="50"/>
      <c r="X20" s="50"/>
      <c r="Y20" s="19"/>
    </row>
    <row r="21" spans="1:25" s="183" customFormat="1" ht="60">
      <c r="A21" s="184" t="s">
        <v>1363</v>
      </c>
      <c r="B21" s="181" t="str">
        <f>CONCATENATE("Who from the household work on third most on [item] ?")</f>
        <v>Who from the household work on third most on [item] ?</v>
      </c>
      <c r="C21" s="407" t="s">
        <v>1364</v>
      </c>
      <c r="D21" s="181"/>
      <c r="E21" s="30" t="str">
        <f>CONCATENATE("من ثالث فرد من أفراد الأسرة عمل أكثر على [item]؟")</f>
        <v>من ثالث فرد من أفراد الأسرة عمل أكثر على [item]؟</v>
      </c>
      <c r="F21" s="407" t="s">
        <v>1365</v>
      </c>
      <c r="H21" s="49"/>
      <c r="I21" s="184">
        <f t="shared" si="0"/>
        <v>16508</v>
      </c>
      <c r="J21" s="284"/>
      <c r="K21" s="181"/>
      <c r="L21" s="50"/>
      <c r="M21" s="211"/>
      <c r="N21" s="31"/>
      <c r="O21" s="407"/>
      <c r="P21" s="407"/>
      <c r="Q21" s="50"/>
      <c r="R21" s="50"/>
      <c r="S21" s="181"/>
      <c r="T21" s="50"/>
      <c r="U21" s="50"/>
      <c r="V21" s="31"/>
      <c r="W21" s="31"/>
      <c r="X21" s="31"/>
      <c r="Y21" s="19"/>
    </row>
    <row r="22" spans="1:25">
      <c r="A22" s="184"/>
      <c r="B22" s="30"/>
      <c r="C22" s="407"/>
      <c r="F22" s="407"/>
      <c r="I22" s="184"/>
      <c r="J22" s="66"/>
      <c r="L22" s="19"/>
      <c r="O22" s="30"/>
      <c r="P22" s="30"/>
      <c r="Q22" s="116"/>
      <c r="Y22" s="19"/>
    </row>
    <row r="23" spans="1:25">
      <c r="C23" s="407"/>
      <c r="D23" s="212"/>
      <c r="F23" s="407"/>
      <c r="I23" s="184"/>
      <c r="J23" s="66"/>
      <c r="L23" s="19"/>
      <c r="O23" s="30"/>
      <c r="P23" s="30"/>
      <c r="Q23" s="116"/>
      <c r="Y23" s="19"/>
    </row>
    <row r="24" spans="1:25">
      <c r="A24" s="64">
        <f t="shared" ref="A24:A30" si="1">I24</f>
        <v>1</v>
      </c>
      <c r="B24" s="31" t="s">
        <v>1406</v>
      </c>
      <c r="C24" s="407"/>
      <c r="D24" s="212"/>
      <c r="E24" s="181" t="s">
        <v>1413</v>
      </c>
      <c r="F24" s="407"/>
      <c r="I24" s="184">
        <v>1</v>
      </c>
      <c r="J24" s="66"/>
      <c r="L24" s="19"/>
      <c r="O24" s="30"/>
      <c r="P24" s="30"/>
      <c r="Q24" s="116"/>
      <c r="Y24" s="19"/>
    </row>
    <row r="25" spans="1:25" ht="60">
      <c r="A25" s="64">
        <f t="shared" si="1"/>
        <v>2</v>
      </c>
      <c r="B25" s="31" t="s">
        <v>1407</v>
      </c>
      <c r="C25" s="407"/>
      <c r="D25" s="212"/>
      <c r="E25" s="181" t="s">
        <v>1414</v>
      </c>
      <c r="F25" s="407"/>
      <c r="I25" s="184">
        <v>2</v>
      </c>
      <c r="J25" s="66"/>
      <c r="L25" s="19"/>
      <c r="O25" s="30"/>
      <c r="P25" s="30"/>
      <c r="Q25" s="116"/>
      <c r="Y25" s="19"/>
    </row>
    <row r="26" spans="1:25">
      <c r="A26" s="64">
        <f t="shared" si="1"/>
        <v>3</v>
      </c>
      <c r="B26" s="31" t="s">
        <v>1408</v>
      </c>
      <c r="C26" s="407"/>
      <c r="D26" s="212"/>
      <c r="E26" s="181" t="s">
        <v>1415</v>
      </c>
      <c r="F26" s="407"/>
      <c r="I26" s="184">
        <v>3</v>
      </c>
      <c r="J26" s="66"/>
      <c r="L26" s="19"/>
      <c r="O26" s="30"/>
      <c r="P26" s="30"/>
      <c r="Q26" s="116"/>
      <c r="Y26" s="19"/>
    </row>
    <row r="27" spans="1:25">
      <c r="A27" s="64">
        <f t="shared" si="1"/>
        <v>4</v>
      </c>
      <c r="B27" s="31" t="s">
        <v>1409</v>
      </c>
      <c r="C27" s="407"/>
      <c r="D27" s="212"/>
      <c r="E27" s="181" t="s">
        <v>1416</v>
      </c>
      <c r="F27" s="407"/>
      <c r="I27" s="184">
        <v>4</v>
      </c>
      <c r="J27" s="66"/>
      <c r="L27" s="19"/>
      <c r="O27" s="30"/>
      <c r="P27" s="30"/>
      <c r="Q27" s="116"/>
      <c r="Y27" s="19"/>
    </row>
    <row r="28" spans="1:25">
      <c r="A28" s="64">
        <f t="shared" si="1"/>
        <v>5</v>
      </c>
      <c r="B28" s="31" t="s">
        <v>1410</v>
      </c>
      <c r="C28" s="407"/>
      <c r="D28" s="212"/>
      <c r="E28" s="181" t="s">
        <v>1417</v>
      </c>
      <c r="F28" s="407"/>
      <c r="I28" s="184">
        <v>5</v>
      </c>
      <c r="J28" s="66"/>
      <c r="L28" s="19"/>
      <c r="O28" s="30"/>
      <c r="P28" s="30"/>
      <c r="Q28" s="116"/>
      <c r="Y28" s="19"/>
    </row>
    <row r="29" spans="1:25">
      <c r="A29" s="64">
        <f t="shared" si="1"/>
        <v>6</v>
      </c>
      <c r="B29" s="31" t="s">
        <v>1411</v>
      </c>
      <c r="C29" s="407"/>
      <c r="D29" s="212"/>
      <c r="E29" s="181" t="s">
        <v>1418</v>
      </c>
      <c r="F29" s="407"/>
      <c r="I29" s="184">
        <v>6</v>
      </c>
      <c r="J29" s="66"/>
      <c r="L29" s="19"/>
      <c r="O29" s="30"/>
      <c r="P29" s="30"/>
      <c r="Q29" s="116"/>
      <c r="Y29" s="19"/>
    </row>
    <row r="30" spans="1:25">
      <c r="A30" s="64">
        <f t="shared" si="1"/>
        <v>7</v>
      </c>
      <c r="B30" s="31" t="s">
        <v>1412</v>
      </c>
      <c r="C30" s="407"/>
      <c r="D30" s="212"/>
      <c r="E30" s="181" t="s">
        <v>1419</v>
      </c>
      <c r="F30" s="407"/>
      <c r="I30" s="184">
        <v>7</v>
      </c>
      <c r="J30" s="66"/>
      <c r="L30" s="19"/>
      <c r="O30" s="30"/>
      <c r="P30" s="30"/>
      <c r="Q30" s="116"/>
      <c r="Y30" s="19"/>
    </row>
    <row r="31" spans="1:25">
      <c r="C31" s="407"/>
      <c r="D31" s="212"/>
      <c r="F31" s="407"/>
      <c r="I31" s="184"/>
      <c r="J31" s="405" t="s">
        <v>21</v>
      </c>
      <c r="L31" s="19"/>
      <c r="O31" s="30"/>
      <c r="P31" s="30"/>
      <c r="Q31" s="116"/>
      <c r="Y31" s="19"/>
    </row>
    <row r="32" spans="1:25">
      <c r="C32" s="407"/>
      <c r="D32" s="212"/>
      <c r="F32" s="407"/>
      <c r="I32" s="184"/>
      <c r="J32" s="88" t="s">
        <v>24</v>
      </c>
      <c r="L32" s="19"/>
      <c r="O32" s="30"/>
      <c r="P32" s="30"/>
      <c r="Q32" s="116"/>
      <c r="Y32" s="19"/>
    </row>
    <row r="33" spans="2:25">
      <c r="C33" s="407"/>
      <c r="D33" s="212"/>
      <c r="F33" s="407"/>
      <c r="I33" s="184"/>
      <c r="J33" s="88" t="s">
        <v>23</v>
      </c>
      <c r="K33" s="64" t="str">
        <f>K4</f>
        <v>data('valid_overall') == 1</v>
      </c>
      <c r="L33" s="19"/>
      <c r="O33" s="30"/>
      <c r="P33" s="30"/>
      <c r="Q33" s="116"/>
      <c r="Y33" s="19"/>
    </row>
    <row r="34" spans="2:25">
      <c r="C34" s="407"/>
      <c r="D34" s="212"/>
      <c r="F34" s="407"/>
      <c r="I34" s="184"/>
      <c r="J34" s="405" t="s">
        <v>20</v>
      </c>
      <c r="L34" s="19"/>
      <c r="O34" s="30"/>
      <c r="P34" s="30"/>
      <c r="Q34" s="116"/>
      <c r="Y34" s="19"/>
    </row>
    <row r="35" spans="2:25" s="45" customFormat="1" ht="45">
      <c r="B35" s="117"/>
      <c r="C35" s="117"/>
      <c r="D35" s="117"/>
      <c r="E35" s="117"/>
      <c r="F35" s="117"/>
      <c r="G35" s="118"/>
      <c r="I35" s="54"/>
      <c r="L35" s="54" t="s">
        <v>18</v>
      </c>
      <c r="M35" s="45" t="s">
        <v>17</v>
      </c>
      <c r="N35" s="45" t="str">
        <f>CONCATENATE("q",$I$14, "_",$I$24)</f>
        <v>q16501_1</v>
      </c>
      <c r="O35" s="312" t="str">
        <f>CONCATENATE(SUBSTITUTE(N35, "q",""), ". ", SUBSTITUTE($E$14, "[item]",$E$24))</f>
        <v>16501_1. هل كان للأسرة أي مبيعات من حليب  خلال الـ12 شهر؟</v>
      </c>
      <c r="P35" s="190" t="str">
        <f>CONCATENATE(N35, ". ", SUBSTITUTE($B$14, "[item]",$B$24))</f>
        <v>q16501_1. Did you have any sales of Milk  in the past 12 months?</v>
      </c>
      <c r="Q35" s="117"/>
      <c r="R35" s="117"/>
      <c r="S35" s="117" t="s">
        <v>587</v>
      </c>
      <c r="T35" s="117"/>
      <c r="W35" s="117"/>
      <c r="X35" s="117"/>
    </row>
    <row r="36" spans="2:25">
      <c r="C36" s="407"/>
      <c r="D36" s="212"/>
      <c r="F36" s="407"/>
      <c r="I36" s="184"/>
      <c r="J36" s="66" t="s">
        <v>23</v>
      </c>
      <c r="K36" s="64" t="str">
        <f>CONCATENATE("selected(data('",N35,"'),'1') &amp;&amp; ",K33)</f>
        <v>selected(data('q16501_1'),'1') &amp;&amp; data('valid_overall') == 1</v>
      </c>
      <c r="L36" s="19"/>
      <c r="O36" s="30"/>
      <c r="P36" s="30"/>
      <c r="Q36" s="116"/>
      <c r="Y36" s="19"/>
    </row>
    <row r="37" spans="2:25" s="45" customFormat="1" ht="60">
      <c r="B37" s="117"/>
      <c r="C37" s="117"/>
      <c r="D37" s="117"/>
      <c r="E37" s="117"/>
      <c r="F37" s="117"/>
      <c r="G37" s="118"/>
      <c r="I37" s="54"/>
      <c r="L37" s="54" t="s">
        <v>19</v>
      </c>
      <c r="N37" s="45" t="str">
        <f>CONCATENATE("q",$I$15, "_",$I$24)</f>
        <v>q16502_1</v>
      </c>
      <c r="O37" s="312" t="str">
        <f>CONCATENATE(SUBSTITUTE(N37, "q",""), ". ", SUBSTITUTE($E$15, "[item]",$E$24))</f>
        <v>16502_1. كم كانت قيمة تلك المبيعات من حليب  (بالجنيه)؟</v>
      </c>
      <c r="P37" s="190" t="str">
        <f>CONCATENATE(N37, ". ", SUBSTITUTE($B$15, "[item]",$B$24))</f>
        <v>q16502_1. What was the value of these sales? (in pounds)</v>
      </c>
      <c r="Q37" s="117" t="s">
        <v>1514</v>
      </c>
      <c r="R37" s="117" t="s">
        <v>1420</v>
      </c>
      <c r="S37" s="117" t="str">
        <f>K36</f>
        <v>selected(data('q16501_1'),'1') &amp;&amp; data('valid_overall') == 1</v>
      </c>
      <c r="T37" s="117"/>
      <c r="W37" s="117"/>
      <c r="X37" s="117"/>
      <c r="Y37" s="45" t="b">
        <v>1</v>
      </c>
    </row>
    <row r="38" spans="2:25" s="45" customFormat="1" ht="45">
      <c r="B38" s="117"/>
      <c r="C38" s="117"/>
      <c r="D38" s="117"/>
      <c r="E38" s="117"/>
      <c r="F38" s="117"/>
      <c r="G38" s="118"/>
      <c r="I38" s="54"/>
      <c r="L38" s="54" t="s">
        <v>174</v>
      </c>
      <c r="M38" s="45" t="s">
        <v>206</v>
      </c>
      <c r="N38" s="45" t="str">
        <f>CONCATENATE("q",$I$16, "_",$I$24)</f>
        <v>q16503_1</v>
      </c>
      <c r="O38" s="312" t="str">
        <f>CONCATENATE(SUBSTITUTE(N38, "q",""), ". ", SUBSTITUTE($E$16, "[item]",$E$24))</f>
        <v>16503_1. من من أفراد الأسرة هو أكثر من اتخذ القرارات فيما يخص حليب ؟</v>
      </c>
      <c r="P38" s="190" t="str">
        <f>CONCATENATE(N38, ". ", SUBSTITUTE($B$16, "[item]",$B$24))</f>
        <v>q16503_1. Who from the household decided most on  Milk ?</v>
      </c>
      <c r="Q38" s="117"/>
      <c r="R38" s="117"/>
      <c r="S38" s="117" t="str">
        <f>K36</f>
        <v>selected(data('q16501_1'),'1') &amp;&amp; data('valid_overall') == 1</v>
      </c>
      <c r="T38" s="117"/>
      <c r="W38" s="117"/>
      <c r="X38" s="117"/>
      <c r="Y38" s="45" t="b">
        <v>1</v>
      </c>
    </row>
    <row r="39" spans="2:25" s="45" customFormat="1">
      <c r="B39" s="117"/>
      <c r="C39" s="117"/>
      <c r="D39" s="117"/>
      <c r="E39" s="117"/>
      <c r="F39" s="117"/>
      <c r="G39" s="118"/>
      <c r="I39" s="54"/>
      <c r="J39" s="176" t="s">
        <v>24</v>
      </c>
      <c r="L39" s="54"/>
      <c r="O39" s="312"/>
      <c r="P39" s="190"/>
      <c r="Q39" s="117"/>
      <c r="R39" s="117"/>
      <c r="S39" s="117"/>
      <c r="T39" s="117"/>
      <c r="W39" s="117"/>
      <c r="X39" s="117"/>
    </row>
    <row r="40" spans="2:25" s="45" customFormat="1">
      <c r="B40" s="117"/>
      <c r="C40" s="117"/>
      <c r="D40" s="117"/>
      <c r="E40" s="117"/>
      <c r="F40" s="117"/>
      <c r="G40" s="118"/>
      <c r="I40" s="54"/>
      <c r="J40" s="45" t="s">
        <v>21</v>
      </c>
      <c r="L40" s="54"/>
      <c r="O40" s="312"/>
      <c r="P40" s="190"/>
      <c r="Q40" s="117"/>
      <c r="R40" s="117"/>
      <c r="S40" s="117"/>
      <c r="T40" s="117"/>
      <c r="W40" s="117"/>
      <c r="X40" s="117"/>
    </row>
    <row r="41" spans="2:25" s="45" customFormat="1">
      <c r="B41" s="117"/>
      <c r="C41" s="117"/>
      <c r="D41" s="117"/>
      <c r="E41" s="117"/>
      <c r="F41" s="117"/>
      <c r="G41" s="118"/>
      <c r="I41" s="54"/>
      <c r="J41" s="88" t="s">
        <v>24</v>
      </c>
      <c r="L41" s="54"/>
      <c r="O41" s="312"/>
      <c r="P41" s="190"/>
      <c r="Q41" s="117"/>
      <c r="R41" s="117"/>
      <c r="S41" s="117"/>
      <c r="T41" s="117"/>
      <c r="W41" s="117"/>
      <c r="X41" s="117"/>
    </row>
    <row r="42" spans="2:25" s="45" customFormat="1">
      <c r="B42" s="117"/>
      <c r="C42" s="117"/>
      <c r="D42" s="117"/>
      <c r="E42" s="117"/>
      <c r="F42" s="117"/>
      <c r="G42" s="118"/>
      <c r="I42" s="54"/>
      <c r="J42" s="178" t="s">
        <v>23</v>
      </c>
      <c r="K42" s="45" t="str">
        <f>K36</f>
        <v>selected(data('q16501_1'),'1') &amp;&amp; data('valid_overall') == 1</v>
      </c>
      <c r="L42" s="54"/>
      <c r="O42" s="312"/>
      <c r="P42" s="190"/>
      <c r="Q42" s="117"/>
      <c r="R42" s="117"/>
      <c r="S42" s="117"/>
      <c r="T42" s="117"/>
      <c r="W42" s="117"/>
      <c r="X42" s="117"/>
    </row>
    <row r="43" spans="2:25" s="45" customFormat="1">
      <c r="B43" s="117"/>
      <c r="C43" s="117"/>
      <c r="D43" s="117"/>
      <c r="E43" s="117"/>
      <c r="F43" s="117"/>
      <c r="G43" s="118"/>
      <c r="I43" s="54"/>
      <c r="J43" s="45" t="s">
        <v>20</v>
      </c>
      <c r="L43" s="54"/>
      <c r="O43" s="312"/>
      <c r="P43" s="190"/>
      <c r="Q43" s="117"/>
      <c r="R43" s="117"/>
      <c r="S43" s="117"/>
      <c r="T43" s="117"/>
      <c r="W43" s="117"/>
      <c r="X43" s="117"/>
    </row>
    <row r="44" spans="2:25" s="45" customFormat="1" ht="30">
      <c r="B44" s="117"/>
      <c r="C44" s="117"/>
      <c r="D44" s="117"/>
      <c r="E44" s="117"/>
      <c r="F44" s="117"/>
      <c r="G44" s="118"/>
      <c r="I44" s="54"/>
      <c r="L44" s="2" t="s">
        <v>413</v>
      </c>
      <c r="M44" s="174" t="str">
        <f>CONCATENATE("roster_line_",N38)</f>
        <v>roster_line_q16503_1</v>
      </c>
      <c r="N44" s="45" t="str">
        <f>CONCATENATE(N38, "_1")</f>
        <v>q16503_1_1</v>
      </c>
      <c r="O44" s="312"/>
      <c r="P44" s="190"/>
      <c r="Q44" s="117"/>
      <c r="R44" s="117"/>
      <c r="S44" s="117" t="str">
        <f>K36</f>
        <v>selected(data('q16501_1'),'1') &amp;&amp; data('valid_overall') == 1</v>
      </c>
      <c r="T44" s="117"/>
      <c r="W44" s="117"/>
      <c r="X44" s="117"/>
      <c r="Y44" s="45" t="b">
        <v>1</v>
      </c>
    </row>
    <row r="45" spans="2:25" s="45" customFormat="1" ht="45">
      <c r="B45" s="117"/>
      <c r="C45" s="117"/>
      <c r="D45" s="117"/>
      <c r="E45" s="117"/>
      <c r="F45" s="117"/>
      <c r="G45" s="118"/>
      <c r="I45" s="54"/>
      <c r="L45" s="54" t="s">
        <v>174</v>
      </c>
      <c r="M45" s="45" t="s">
        <v>206</v>
      </c>
      <c r="N45" s="45" t="str">
        <f>CONCATENATE("q",$I$17, "_",$I$24)</f>
        <v>q16504_1</v>
      </c>
      <c r="O45" s="312" t="str">
        <f>CONCATENATE(SUBSTITUTE(N45, "q",""), ". ", SUBSTITUTE($E$17, "[item]",$E$24))</f>
        <v>16504_1. من من أفراد الأسرة عمل أكثر على حليب ؟</v>
      </c>
      <c r="P45" s="190" t="str">
        <f>CONCATENATE(N45, ". ", SUBSTITUTE($B$17, "[item]",$B$24))</f>
        <v>q16504_1. Who from the household worked the most on Milk  ?</v>
      </c>
      <c r="Q45" s="117"/>
      <c r="R45" s="117"/>
      <c r="S45" s="117" t="str">
        <f>K36</f>
        <v>selected(data('q16501_1'),'1') &amp;&amp; data('valid_overall') == 1</v>
      </c>
      <c r="T45" s="117"/>
      <c r="W45" s="31"/>
      <c r="X45" s="31"/>
      <c r="Y45" s="45" t="b">
        <v>1</v>
      </c>
    </row>
    <row r="46" spans="2:25" s="45" customFormat="1">
      <c r="B46" s="117"/>
      <c r="C46" s="117"/>
      <c r="D46" s="117"/>
      <c r="E46" s="117"/>
      <c r="F46" s="117"/>
      <c r="G46" s="118"/>
      <c r="I46" s="54"/>
      <c r="J46" s="45" t="s">
        <v>21</v>
      </c>
      <c r="L46" s="54"/>
      <c r="O46" s="312"/>
      <c r="P46" s="190"/>
      <c r="Q46" s="117"/>
      <c r="R46" s="117"/>
      <c r="S46" s="117"/>
      <c r="T46" s="117"/>
      <c r="W46" s="117"/>
      <c r="X46" s="117"/>
    </row>
    <row r="47" spans="2:25" s="45" customFormat="1">
      <c r="B47" s="117"/>
      <c r="C47" s="117"/>
      <c r="D47" s="117"/>
      <c r="E47" s="117"/>
      <c r="F47" s="117"/>
      <c r="G47" s="118"/>
      <c r="I47" s="54"/>
      <c r="J47" s="45" t="s">
        <v>20</v>
      </c>
      <c r="L47" s="54"/>
      <c r="O47" s="312"/>
      <c r="P47" s="190"/>
      <c r="Q47" s="117"/>
      <c r="R47" s="117"/>
      <c r="S47" s="117"/>
      <c r="T47" s="117"/>
      <c r="W47" s="117"/>
      <c r="X47" s="117"/>
    </row>
    <row r="48" spans="2:25" s="45" customFormat="1" ht="30">
      <c r="B48" s="117"/>
      <c r="C48" s="117"/>
      <c r="D48" s="117"/>
      <c r="E48" s="117"/>
      <c r="F48" s="117"/>
      <c r="G48" s="118"/>
      <c r="I48" s="54"/>
      <c r="L48" s="2" t="s">
        <v>413</v>
      </c>
      <c r="M48" s="174" t="str">
        <f>CONCATENATE("roster_line_",N45)</f>
        <v>roster_line_q16504_1</v>
      </c>
      <c r="N48" s="45" t="str">
        <f>CONCATENATE(N45, "_1")</f>
        <v>q16504_1_1</v>
      </c>
      <c r="O48" s="312"/>
      <c r="P48" s="190"/>
      <c r="Q48" s="117"/>
      <c r="R48" s="117"/>
      <c r="S48" s="117" t="str">
        <f>K36</f>
        <v>selected(data('q16501_1'),'1') &amp;&amp; data('valid_overall') == 1</v>
      </c>
      <c r="T48" s="117"/>
      <c r="V48" s="31"/>
      <c r="W48" s="117"/>
      <c r="X48" s="117"/>
      <c r="Y48" s="45" t="b">
        <v>1</v>
      </c>
    </row>
    <row r="49" spans="2:25" s="45" customFormat="1" ht="45">
      <c r="B49" s="117"/>
      <c r="C49" s="117"/>
      <c r="D49" s="117"/>
      <c r="E49" s="117"/>
      <c r="F49" s="117"/>
      <c r="G49" s="118"/>
      <c r="I49" s="54"/>
      <c r="L49" s="54" t="s">
        <v>18</v>
      </c>
      <c r="M49" s="45" t="s">
        <v>17</v>
      </c>
      <c r="N49" s="45" t="str">
        <f>CONCATENATE("q",$I$18, "_",$I$24)</f>
        <v>q16505_1</v>
      </c>
      <c r="O49" s="312" t="str">
        <f>CONCATENATE(SUBSTITUTE(N49, "q",""), ". ", SUBSTITUTE($E$18, "[item]",$E$24))</f>
        <v xml:space="preserve">16505_1. هل عمل أي شخص آخر من الأسرة على حليب ؟
</v>
      </c>
      <c r="P49" s="190" t="str">
        <f>CONCATENATE(N49, ". ", SUBSTITUTE($B$18, "[item]",$B$24))</f>
        <v>q16505_1. Did anyone else from the household work on Milk  ?</v>
      </c>
      <c r="Q49" s="117"/>
      <c r="R49" s="117"/>
      <c r="S49" s="117" t="str">
        <f>K36</f>
        <v>selected(data('q16501_1'),'1') &amp;&amp; data('valid_overall') == 1</v>
      </c>
      <c r="T49" s="117"/>
      <c r="W49" s="117"/>
      <c r="X49" s="117"/>
      <c r="Y49" s="45" t="b">
        <v>1</v>
      </c>
    </row>
    <row r="50" spans="2:25">
      <c r="C50" s="407"/>
      <c r="D50" s="212"/>
      <c r="F50" s="407"/>
      <c r="I50" s="184"/>
      <c r="J50" s="405" t="s">
        <v>21</v>
      </c>
      <c r="L50" s="19"/>
      <c r="O50" s="30"/>
      <c r="P50" s="30"/>
      <c r="Q50" s="116"/>
      <c r="Y50" s="19"/>
    </row>
    <row r="51" spans="2:25">
      <c r="C51" s="407"/>
      <c r="D51" s="212"/>
      <c r="F51" s="407"/>
      <c r="I51" s="184"/>
      <c r="J51" s="178" t="s">
        <v>24</v>
      </c>
      <c r="L51" s="19"/>
      <c r="O51" s="30"/>
      <c r="P51" s="30"/>
      <c r="Q51" s="116"/>
      <c r="Y51" s="19"/>
    </row>
    <row r="52" spans="2:25">
      <c r="C52" s="407"/>
      <c r="D52" s="212"/>
      <c r="F52" s="407"/>
      <c r="I52" s="184"/>
      <c r="J52" s="88" t="s">
        <v>23</v>
      </c>
      <c r="K52" s="64" t="str">
        <f>CONCATENATE("selected(data('",N49,"'),'1') &amp;&amp; ",K36)</f>
        <v>selected(data('q16505_1'),'1') &amp;&amp; selected(data('q16501_1'),'1') &amp;&amp; data('valid_overall') == 1</v>
      </c>
      <c r="L52" s="19"/>
      <c r="O52" s="30"/>
      <c r="P52" s="30"/>
      <c r="Q52" s="116"/>
      <c r="Y52" s="19"/>
    </row>
    <row r="53" spans="2:25" s="45" customFormat="1" ht="45">
      <c r="B53" s="117"/>
      <c r="C53" s="117"/>
      <c r="D53" s="117"/>
      <c r="E53" s="117"/>
      <c r="F53" s="117"/>
      <c r="G53" s="118"/>
      <c r="I53" s="54"/>
      <c r="L53" s="54" t="s">
        <v>174</v>
      </c>
      <c r="M53" s="45" t="s">
        <v>206</v>
      </c>
      <c r="N53" s="45" t="str">
        <f>CONCATENATE("q",$I$19, "_",$I$24)</f>
        <v>q16506_1</v>
      </c>
      <c r="O53" s="312" t="str">
        <f>CONCATENATE(SUBSTITUTE(N53, "q",""), ". ", SUBSTITUTE($E$19, "[item]",$E$24))</f>
        <v>16506_1. من ثانى فرد من أفراد الأسرة عمل أكثر على حليب ؟</v>
      </c>
      <c r="P53" s="190" t="str">
        <f>CONCATENATE(N53, ". ", SUBSTITUTE($B$19, "[item]",$B$24))</f>
        <v>q16506_1. Who from the household worked second most on Milk ?</v>
      </c>
      <c r="Q53" s="117"/>
      <c r="R53" s="117"/>
      <c r="S53" s="117" t="str">
        <f>K52</f>
        <v>selected(data('q16505_1'),'1') &amp;&amp; selected(data('q16501_1'),'1') &amp;&amp; data('valid_overall') == 1</v>
      </c>
      <c r="T53" s="117"/>
      <c r="Y53" s="45" t="b">
        <v>1</v>
      </c>
    </row>
    <row r="54" spans="2:25" s="45" customFormat="1">
      <c r="B54" s="117"/>
      <c r="C54" s="117"/>
      <c r="D54" s="117"/>
      <c r="E54" s="117"/>
      <c r="F54" s="117"/>
      <c r="G54" s="118"/>
      <c r="I54" s="54"/>
      <c r="J54" s="45" t="s">
        <v>20</v>
      </c>
      <c r="L54" s="54"/>
      <c r="O54" s="312"/>
      <c r="P54" s="190"/>
      <c r="Q54" s="117"/>
      <c r="R54" s="117"/>
      <c r="S54" s="117"/>
      <c r="T54" s="117"/>
    </row>
    <row r="55" spans="2:25" s="45" customFormat="1" ht="60">
      <c r="B55" s="117"/>
      <c r="C55" s="117"/>
      <c r="D55" s="117"/>
      <c r="E55" s="117"/>
      <c r="F55" s="117"/>
      <c r="G55" s="118"/>
      <c r="I55" s="54"/>
      <c r="L55" s="2" t="s">
        <v>413</v>
      </c>
      <c r="M55" s="174" t="str">
        <f>CONCATENATE("roster_line_",N53)</f>
        <v>roster_line_q16506_1</v>
      </c>
      <c r="N55" s="45" t="str">
        <f>CONCATENATE(N53, "_1")</f>
        <v>q16506_1_1</v>
      </c>
      <c r="O55" s="312"/>
      <c r="P55" s="190"/>
      <c r="Q55" s="117"/>
      <c r="R55" s="117"/>
      <c r="S55" s="117" t="str">
        <f>K52</f>
        <v>selected(data('q16505_1'),'1') &amp;&amp; selected(data('q16501_1'),'1') &amp;&amp; data('valid_overall') == 1</v>
      </c>
      <c r="T55" s="117"/>
      <c r="V55" s="31" t="str">
        <f>CONCATENATE("(data('",N45,"') != data('",N53,"')) || selected(data('",N49,"'), '2') || selected(data('",N35,"'), '2')  || data('valid_overall') == 0")</f>
        <v>(data('q16504_1') != data('q16506_1')) || selected(data('q16505_1'), '2') || selected(data('q16501_1'), '2')  || data('valid_overall') == 0</v>
      </c>
      <c r="W55" s="31" t="s">
        <v>1033</v>
      </c>
      <c r="X55" s="31" t="s">
        <v>555</v>
      </c>
      <c r="Y55" s="45" t="b">
        <v>1</v>
      </c>
    </row>
    <row r="56" spans="2:25" s="45" customFormat="1" ht="45">
      <c r="B56" s="117"/>
      <c r="C56" s="117"/>
      <c r="D56" s="117"/>
      <c r="E56" s="117"/>
      <c r="F56" s="117"/>
      <c r="G56" s="118"/>
      <c r="I56" s="54"/>
      <c r="L56" s="54" t="s">
        <v>18</v>
      </c>
      <c r="M56" s="45" t="s">
        <v>17</v>
      </c>
      <c r="N56" s="45" t="str">
        <f>CONCATENATE("q",$I$20, "_",$I$24)</f>
        <v>q16507_1</v>
      </c>
      <c r="O56" s="312" t="str">
        <f>CONCATENATE(SUBSTITUTE(N56, "q",""), ". ", SUBSTITUTE($E$20, "[item]",$E$24))</f>
        <v xml:space="preserve">16507_1. هل عمل أي شخص آخر من الأسرة على حليب ؟
</v>
      </c>
      <c r="P56" s="190" t="str">
        <f>CONCATENATE(N56, ". ", SUBSTITUTE($B$20, "[item]",$B$24))</f>
        <v>q16507_1. Did anyone else from the household work on on Milk  ?</v>
      </c>
      <c r="Q56" s="117"/>
      <c r="R56" s="117"/>
      <c r="S56" s="117" t="str">
        <f>K52</f>
        <v>selected(data('q16505_1'),'1') &amp;&amp; selected(data('q16501_1'),'1') &amp;&amp; data('valid_overall') == 1</v>
      </c>
      <c r="T56" s="117"/>
      <c r="W56" s="117"/>
      <c r="X56" s="117"/>
      <c r="Y56" s="45" t="b">
        <v>1</v>
      </c>
    </row>
    <row r="57" spans="2:25">
      <c r="C57" s="407"/>
      <c r="D57" s="212"/>
      <c r="F57" s="407"/>
      <c r="I57" s="184"/>
      <c r="J57" s="405" t="s">
        <v>21</v>
      </c>
      <c r="L57" s="19"/>
      <c r="O57" s="30"/>
      <c r="P57" s="30"/>
      <c r="Q57" s="116"/>
      <c r="V57" s="45"/>
      <c r="W57" s="45"/>
      <c r="X57" s="45"/>
      <c r="Y57" s="19"/>
    </row>
    <row r="58" spans="2:25">
      <c r="C58" s="407"/>
      <c r="D58" s="212"/>
      <c r="F58" s="407"/>
      <c r="I58" s="184"/>
      <c r="J58" s="88" t="s">
        <v>24</v>
      </c>
      <c r="L58" s="19"/>
      <c r="O58" s="30"/>
      <c r="P58" s="30"/>
      <c r="Q58" s="116"/>
      <c r="V58" s="45"/>
      <c r="W58" s="117"/>
      <c r="X58" s="117"/>
      <c r="Y58" s="19"/>
    </row>
    <row r="59" spans="2:25">
      <c r="C59" s="407"/>
      <c r="D59" s="212"/>
      <c r="F59" s="407"/>
      <c r="I59" s="184"/>
      <c r="J59" s="88" t="s">
        <v>23</v>
      </c>
      <c r="K59" s="64" t="str">
        <f>CONCATENATE("selected(data('",N56,"'),'1') &amp;&amp; ",K52)</f>
        <v>selected(data('q16507_1'),'1') &amp;&amp; selected(data('q16505_1'),'1') &amp;&amp; selected(data('q16501_1'),'1') &amp;&amp; data('valid_overall') == 1</v>
      </c>
      <c r="L59" s="19"/>
      <c r="O59" s="30"/>
      <c r="P59" s="30"/>
      <c r="Q59" s="116"/>
      <c r="Y59" s="19"/>
    </row>
    <row r="60" spans="2:25" s="45" customFormat="1" ht="45">
      <c r="B60" s="117"/>
      <c r="C60" s="117"/>
      <c r="D60" s="117"/>
      <c r="E60" s="117"/>
      <c r="F60" s="117"/>
      <c r="G60" s="118"/>
      <c r="I60" s="54"/>
      <c r="L60" s="54" t="s">
        <v>174</v>
      </c>
      <c r="M60" s="45" t="s">
        <v>206</v>
      </c>
      <c r="N60" s="45" t="str">
        <f>CONCATENATE("q",$I$21, "_",$I$24)</f>
        <v>q16508_1</v>
      </c>
      <c r="O60" s="312" t="str">
        <f>CONCATENATE(SUBSTITUTE(N60, "q",""), ". ", SUBSTITUTE($E$21, "[item]",$E$24))</f>
        <v>16508_1. من ثالث فرد من أفراد الأسرة عمل أكثر على حليب ؟</v>
      </c>
      <c r="P60" s="190" t="str">
        <f>CONCATENATE(N60, ". ", SUBSTITUTE($B$21, "[item]",$B$24))</f>
        <v>q16508_1. Who from the household work on third most on Milk  ?</v>
      </c>
      <c r="Q60" s="117"/>
      <c r="R60" s="117"/>
      <c r="S60" s="117" t="str">
        <f>K59</f>
        <v>selected(data('q16507_1'),'1') &amp;&amp; selected(data('q16505_1'),'1') &amp;&amp; selected(data('q16501_1'),'1') &amp;&amp; data('valid_overall') == 1</v>
      </c>
      <c r="T60" s="117"/>
      <c r="V60" s="64"/>
      <c r="W60" s="64"/>
      <c r="X60" s="64"/>
      <c r="Y60" s="45" t="b">
        <v>1</v>
      </c>
    </row>
    <row r="61" spans="2:25" s="45" customFormat="1">
      <c r="B61" s="117"/>
      <c r="C61" s="117"/>
      <c r="D61" s="117"/>
      <c r="E61" s="117"/>
      <c r="F61" s="117"/>
      <c r="G61" s="118"/>
      <c r="I61" s="54"/>
      <c r="J61" s="88" t="s">
        <v>24</v>
      </c>
      <c r="L61" s="54"/>
      <c r="O61" s="312"/>
      <c r="P61" s="190"/>
      <c r="Q61" s="117"/>
      <c r="R61" s="117"/>
      <c r="S61" s="117"/>
      <c r="T61" s="117"/>
      <c r="V61" s="64"/>
      <c r="W61" s="64"/>
      <c r="X61" s="64"/>
    </row>
    <row r="62" spans="2:25" s="45" customFormat="1">
      <c r="B62" s="117"/>
      <c r="C62" s="117"/>
      <c r="D62" s="117"/>
      <c r="E62" s="117"/>
      <c r="F62" s="117"/>
      <c r="G62" s="118"/>
      <c r="I62" s="54"/>
      <c r="J62" s="45" t="s">
        <v>20</v>
      </c>
      <c r="L62" s="54"/>
      <c r="O62" s="312"/>
      <c r="P62" s="190"/>
      <c r="Q62" s="117"/>
      <c r="R62" s="117"/>
      <c r="S62" s="117"/>
      <c r="T62" s="117"/>
    </row>
    <row r="63" spans="2:25" s="45" customFormat="1">
      <c r="B63" s="117"/>
      <c r="C63" s="117"/>
      <c r="D63" s="117"/>
      <c r="E63" s="117"/>
      <c r="F63" s="117"/>
      <c r="G63" s="118"/>
      <c r="I63" s="54"/>
      <c r="J63" s="88" t="s">
        <v>23</v>
      </c>
      <c r="K63" s="45" t="str">
        <f>K59</f>
        <v>selected(data('q16507_1'),'1') &amp;&amp; selected(data('q16505_1'),'1') &amp;&amp; selected(data('q16501_1'),'1') &amp;&amp; data('valid_overall') == 1</v>
      </c>
      <c r="L63" s="54"/>
      <c r="O63" s="312"/>
      <c r="P63" s="190"/>
      <c r="Q63" s="117"/>
      <c r="R63" s="117"/>
      <c r="S63" s="117"/>
      <c r="T63" s="117"/>
      <c r="W63" s="117"/>
      <c r="X63" s="117"/>
    </row>
    <row r="64" spans="2:25" s="45" customFormat="1" ht="105">
      <c r="B64" s="117"/>
      <c r="C64" s="117"/>
      <c r="D64" s="117"/>
      <c r="E64" s="117"/>
      <c r="F64" s="117"/>
      <c r="G64" s="118"/>
      <c r="I64" s="54"/>
      <c r="L64" s="2" t="s">
        <v>413</v>
      </c>
      <c r="M64" s="174" t="str">
        <f>CONCATENATE("roster_line_",N60)</f>
        <v>roster_line_q16508_1</v>
      </c>
      <c r="N64" s="45" t="str">
        <f>CONCATENATE(N60, "_1")</f>
        <v>q16508_1_1</v>
      </c>
      <c r="O64" s="312"/>
      <c r="P64" s="190"/>
      <c r="Q64" s="117"/>
      <c r="R64" s="117"/>
      <c r="S64" s="117" t="str">
        <f>K59</f>
        <v>selected(data('q16507_1'),'1') &amp;&amp; selected(data('q16505_1'),'1') &amp;&amp; selected(data('q16501_1'),'1') &amp;&amp; data('valid_overall') == 1</v>
      </c>
      <c r="T64" s="117"/>
      <c r="V64" s="31" t="str">
        <f>CONCATENATE("(data('",N45,"') != data('",N53,"') &amp;&amp; data('",N45,"') != data('",N60,"') &amp;&amp; data('",N60,"') != data('",N53,"') ) || selected(data('",N35,"'), '2') || selected(data('",N49,"'), '2') || selected(data('",N56,"'), '2') || data('valid_overall') == 0")</f>
        <v>(data('q16504_1') != data('q16506_1') &amp;&amp; data('q16504_1') != data('q16508_1') &amp;&amp; data('q16508_1') != data('q16506_1') ) || selected(data('q16501_1'), '2') || selected(data('q16505_1'), '2') || selected(data('q16507_1'), '2') || data('valid_overall') == 0</v>
      </c>
      <c r="W64" s="31" t="s">
        <v>1033</v>
      </c>
      <c r="X64" s="31" t="s">
        <v>555</v>
      </c>
      <c r="Y64" s="45" t="b">
        <v>1</v>
      </c>
    </row>
    <row r="65" spans="2:25" s="45" customFormat="1">
      <c r="B65" s="117"/>
      <c r="C65" s="117"/>
      <c r="D65" s="117"/>
      <c r="E65" s="117"/>
      <c r="F65" s="117"/>
      <c r="G65" s="118"/>
      <c r="I65" s="54"/>
      <c r="L65" s="54"/>
      <c r="O65" s="312"/>
      <c r="P65" s="190"/>
      <c r="Q65" s="117"/>
      <c r="R65" s="117"/>
      <c r="S65" s="117"/>
      <c r="T65" s="117"/>
      <c r="V65" s="31"/>
      <c r="W65" s="117"/>
      <c r="X65" s="117"/>
    </row>
    <row r="66" spans="2:25" s="435" customFormat="1">
      <c r="B66" s="436"/>
      <c r="C66" s="436"/>
      <c r="D66" s="437"/>
      <c r="E66" s="438"/>
      <c r="F66" s="438"/>
      <c r="H66" s="439"/>
      <c r="I66" s="440"/>
      <c r="K66" s="436"/>
      <c r="L66" s="440"/>
      <c r="M66" s="441"/>
      <c r="N66" s="440"/>
      <c r="O66" s="438"/>
      <c r="P66" s="436"/>
      <c r="Q66" s="440"/>
      <c r="R66" s="440"/>
      <c r="S66" s="440"/>
      <c r="T66" s="440"/>
      <c r="U66" s="440"/>
      <c r="V66" s="440"/>
      <c r="W66" s="442"/>
      <c r="X66" s="436"/>
    </row>
    <row r="67" spans="2:25" s="45" customFormat="1">
      <c r="B67" s="117"/>
      <c r="C67" s="117"/>
      <c r="D67" s="117"/>
      <c r="E67" s="117"/>
      <c r="F67" s="117"/>
      <c r="G67" s="118"/>
      <c r="I67" s="54"/>
      <c r="J67" s="178" t="s">
        <v>24</v>
      </c>
      <c r="L67" s="54"/>
      <c r="O67" s="312"/>
      <c r="P67" s="190"/>
      <c r="Q67" s="117"/>
      <c r="R67" s="117"/>
      <c r="S67" s="117"/>
      <c r="T67" s="117"/>
      <c r="W67" s="117"/>
      <c r="X67" s="117"/>
    </row>
    <row r="68" spans="2:25" s="45" customFormat="1" ht="75">
      <c r="B68" s="117"/>
      <c r="C68" s="117"/>
      <c r="D68" s="117"/>
      <c r="E68" s="117"/>
      <c r="F68" s="117"/>
      <c r="G68" s="118"/>
      <c r="I68" s="54"/>
      <c r="L68" s="54" t="s">
        <v>18</v>
      </c>
      <c r="M68" s="45" t="s">
        <v>17</v>
      </c>
      <c r="N68" s="45" t="str">
        <f>CONCATENATE("q",$I$14, "_",$I$25)</f>
        <v>q16501_2</v>
      </c>
      <c r="O68" s="312" t="str">
        <f>CONCATENATE(SUBSTITUTE(N68, "q",""), ". ", SUBSTITUTE($E$14, "[item]",$E$25))</f>
        <v>16501_2. هل كان للأسرة أي مبيعات من منتجات حليب أخرى ( جبن، زبدة، قشطة)  خلال الـ12 شهر؟</v>
      </c>
      <c r="P68" s="190" t="str">
        <f>CONCATENATE(N68, ". ", SUBSTITUTE($B$14, "[item]",$B$25))</f>
        <v>q16501_2. Did you have any sales of Other dairy products (ex. cheese, butter, cream)  in the past 12 months?</v>
      </c>
      <c r="Q68" s="117"/>
      <c r="R68" s="117"/>
      <c r="S68" s="117" t="s">
        <v>587</v>
      </c>
      <c r="T68" s="117"/>
      <c r="W68" s="117"/>
      <c r="X68" s="117"/>
    </row>
    <row r="69" spans="2:25">
      <c r="C69" s="407"/>
      <c r="D69" s="212"/>
      <c r="F69" s="407"/>
      <c r="I69" s="184"/>
      <c r="J69" s="88" t="s">
        <v>23</v>
      </c>
      <c r="K69" s="64" t="str">
        <f>CONCATENATE("selected(data('",N68,"'),'1')")</f>
        <v>selected(data('q16501_2'),'1')</v>
      </c>
      <c r="L69" s="19"/>
      <c r="O69" s="30"/>
      <c r="P69" s="30"/>
      <c r="Q69" s="116"/>
      <c r="Y69" s="19"/>
    </row>
    <row r="70" spans="2:25" s="45" customFormat="1" ht="45">
      <c r="B70" s="117"/>
      <c r="C70" s="117"/>
      <c r="D70" s="117"/>
      <c r="E70" s="117"/>
      <c r="F70" s="117"/>
      <c r="G70" s="118"/>
      <c r="I70" s="54"/>
      <c r="L70" s="54" t="s">
        <v>19</v>
      </c>
      <c r="N70" s="45" t="str">
        <f>CONCATENATE("q",$I$15, "_",$I$25)</f>
        <v>q16502_2</v>
      </c>
      <c r="O70" s="312" t="str">
        <f>CONCATENATE(SUBSTITUTE(N70, "q",""), ". ", SUBSTITUTE($E$15, "[item]",$E$25))</f>
        <v>16502_2. كم كانت قيمة تلك المبيعات من منتجات حليب أخرى ( جبن، زبدة، قشطة)  (بالجنيه)؟</v>
      </c>
      <c r="P70" s="190" t="str">
        <f>CONCATENATE(N70, ". ", SUBSTITUTE($B$15, "[item]",$B$25))</f>
        <v>q16502_2. What was the value of these sales? (in pounds)</v>
      </c>
      <c r="Q70" s="117" t="s">
        <v>1514</v>
      </c>
      <c r="R70" s="117" t="s">
        <v>1420</v>
      </c>
      <c r="S70" s="117" t="str">
        <f>K69</f>
        <v>selected(data('q16501_2'),'1')</v>
      </c>
      <c r="T70" s="117"/>
      <c r="W70" s="117"/>
      <c r="X70" s="117"/>
      <c r="Y70" s="45" t="b">
        <v>1</v>
      </c>
    </row>
    <row r="71" spans="2:25" s="45" customFormat="1" ht="75">
      <c r="B71" s="117"/>
      <c r="C71" s="117"/>
      <c r="D71" s="117"/>
      <c r="E71" s="117"/>
      <c r="F71" s="117"/>
      <c r="G71" s="118"/>
      <c r="I71" s="54"/>
      <c r="L71" s="54" t="s">
        <v>174</v>
      </c>
      <c r="M71" s="45" t="s">
        <v>206</v>
      </c>
      <c r="N71" s="45" t="str">
        <f>CONCATENATE("q",$I$16, "_",$I$25)</f>
        <v>q16503_2</v>
      </c>
      <c r="O71" s="312" t="str">
        <f>CONCATENATE(SUBSTITUTE(N71, "q",""), ". ", SUBSTITUTE($E$16, "[item]",$E$25))</f>
        <v>16503_2. من من أفراد الأسرة هو أكثر من اتخذ القرارات فيما يخص منتجات حليب أخرى ( جبن، زبدة، قشطة) ؟</v>
      </c>
      <c r="P71" s="190" t="str">
        <f>CONCATENATE(N71, ". ", SUBSTITUTE($B$16, "[item]",$B$25))</f>
        <v>q16503_2. Who from the household decided most on  Other dairy products (ex. cheese, butter, cream) ?</v>
      </c>
      <c r="Q71" s="117"/>
      <c r="R71" s="117"/>
      <c r="S71" s="117" t="str">
        <f>K69</f>
        <v>selected(data('q16501_2'),'1')</v>
      </c>
      <c r="T71" s="117"/>
      <c r="W71" s="117"/>
      <c r="X71" s="117"/>
      <c r="Y71" s="45" t="b">
        <v>1</v>
      </c>
    </row>
    <row r="72" spans="2:25" s="45" customFormat="1">
      <c r="B72" s="117"/>
      <c r="C72" s="117"/>
      <c r="D72" s="117"/>
      <c r="E72" s="117"/>
      <c r="F72" s="117"/>
      <c r="G72" s="118"/>
      <c r="I72" s="54"/>
      <c r="J72" s="178" t="s">
        <v>24</v>
      </c>
      <c r="L72" s="54"/>
      <c r="O72" s="312"/>
      <c r="P72" s="190"/>
      <c r="Q72" s="117"/>
      <c r="R72" s="117"/>
      <c r="S72" s="117"/>
      <c r="T72" s="117"/>
      <c r="W72" s="117"/>
      <c r="X72" s="117"/>
    </row>
    <row r="73" spans="2:25" s="45" customFormat="1">
      <c r="B73" s="117"/>
      <c r="C73" s="117"/>
      <c r="D73" s="117"/>
      <c r="E73" s="117"/>
      <c r="F73" s="117"/>
      <c r="G73" s="118"/>
      <c r="I73" s="54"/>
      <c r="J73" s="45" t="s">
        <v>21</v>
      </c>
      <c r="L73" s="54"/>
      <c r="O73" s="312"/>
      <c r="P73" s="190"/>
      <c r="Q73" s="117"/>
      <c r="R73" s="117"/>
      <c r="S73" s="117"/>
      <c r="T73" s="117"/>
      <c r="W73" s="117"/>
      <c r="X73" s="117"/>
    </row>
    <row r="74" spans="2:25" s="45" customFormat="1">
      <c r="B74" s="117"/>
      <c r="C74" s="117"/>
      <c r="D74" s="117"/>
      <c r="E74" s="117"/>
      <c r="F74" s="117"/>
      <c r="G74" s="118"/>
      <c r="I74" s="54"/>
      <c r="J74" s="178" t="s">
        <v>23</v>
      </c>
      <c r="K74" s="45" t="str">
        <f>K69</f>
        <v>selected(data('q16501_2'),'1')</v>
      </c>
      <c r="L74" s="54"/>
      <c r="O74" s="312"/>
      <c r="P74" s="190"/>
      <c r="Q74" s="117"/>
      <c r="R74" s="117"/>
      <c r="S74" s="117"/>
      <c r="T74" s="117"/>
      <c r="W74" s="117"/>
      <c r="X74" s="117"/>
    </row>
    <row r="75" spans="2:25" s="45" customFormat="1">
      <c r="B75" s="117"/>
      <c r="C75" s="117"/>
      <c r="D75" s="117"/>
      <c r="E75" s="117"/>
      <c r="F75" s="117"/>
      <c r="G75" s="118"/>
      <c r="I75" s="54"/>
      <c r="J75" s="45" t="s">
        <v>20</v>
      </c>
      <c r="L75" s="54"/>
      <c r="O75" s="312"/>
      <c r="P75" s="190"/>
      <c r="Q75" s="117"/>
      <c r="R75" s="117"/>
      <c r="S75" s="117"/>
      <c r="T75" s="117"/>
      <c r="W75" s="117"/>
      <c r="X75" s="117"/>
    </row>
    <row r="76" spans="2:25" s="45" customFormat="1" ht="30">
      <c r="B76" s="117"/>
      <c r="C76" s="117"/>
      <c r="D76" s="117"/>
      <c r="E76" s="117"/>
      <c r="F76" s="117"/>
      <c r="G76" s="118"/>
      <c r="I76" s="54"/>
      <c r="L76" s="2" t="s">
        <v>413</v>
      </c>
      <c r="M76" s="174" t="str">
        <f>CONCATENATE("roster_line_",N71)</f>
        <v>roster_line_q16503_2</v>
      </c>
      <c r="N76" s="45" t="str">
        <f>CONCATENATE(N71, "_1")</f>
        <v>q16503_2_1</v>
      </c>
      <c r="O76" s="312"/>
      <c r="P76" s="190"/>
      <c r="Q76" s="117"/>
      <c r="R76" s="117"/>
      <c r="S76" s="117" t="str">
        <f>K69</f>
        <v>selected(data('q16501_2'),'1')</v>
      </c>
      <c r="T76" s="117"/>
      <c r="W76" s="117"/>
      <c r="X76" s="117"/>
      <c r="Y76" s="45" t="b">
        <v>1</v>
      </c>
    </row>
    <row r="77" spans="2:25" s="45" customFormat="1" ht="75">
      <c r="B77" s="117"/>
      <c r="C77" s="117"/>
      <c r="D77" s="117"/>
      <c r="E77" s="117"/>
      <c r="F77" s="117"/>
      <c r="G77" s="118"/>
      <c r="I77" s="54"/>
      <c r="L77" s="54" t="s">
        <v>174</v>
      </c>
      <c r="M77" s="45" t="s">
        <v>206</v>
      </c>
      <c r="N77" s="45" t="str">
        <f>CONCATENATE("q",$I$17, "_",$I$25)</f>
        <v>q16504_2</v>
      </c>
      <c r="O77" s="312" t="str">
        <f>CONCATENATE(SUBSTITUTE(N77, "q",""), ". ", SUBSTITUTE($E$17, "[item]",$E$25))</f>
        <v>16504_2. من من أفراد الأسرة عمل أكثر على منتجات حليب أخرى ( جبن، زبدة، قشطة) ؟</v>
      </c>
      <c r="P77" s="190" t="str">
        <f>CONCATENATE(N77, ". ", SUBSTITUTE($B$17, "[item]",$B$25))</f>
        <v>q16504_2. Who from the household worked the most on Other dairy products (ex. cheese, butter, cream)  ?</v>
      </c>
      <c r="Q77" s="117"/>
      <c r="R77" s="117"/>
      <c r="S77" s="117" t="str">
        <f>K69</f>
        <v>selected(data('q16501_2'),'1')</v>
      </c>
      <c r="T77" s="117"/>
      <c r="W77" s="31"/>
      <c r="X77" s="31"/>
      <c r="Y77" s="45" t="b">
        <v>1</v>
      </c>
    </row>
    <row r="78" spans="2:25" s="45" customFormat="1">
      <c r="B78" s="117"/>
      <c r="C78" s="117"/>
      <c r="D78" s="117"/>
      <c r="E78" s="117"/>
      <c r="F78" s="117"/>
      <c r="G78" s="118"/>
      <c r="I78" s="54"/>
      <c r="J78" s="45" t="s">
        <v>21</v>
      </c>
      <c r="L78" s="54"/>
      <c r="O78" s="312"/>
      <c r="P78" s="190"/>
      <c r="Q78" s="117"/>
      <c r="R78" s="117"/>
      <c r="S78" s="117"/>
      <c r="T78" s="117"/>
      <c r="W78" s="117"/>
      <c r="X78" s="117"/>
    </row>
    <row r="79" spans="2:25" s="45" customFormat="1">
      <c r="B79" s="117"/>
      <c r="C79" s="117"/>
      <c r="D79" s="117"/>
      <c r="E79" s="117"/>
      <c r="F79" s="117"/>
      <c r="G79" s="118"/>
      <c r="I79" s="54"/>
      <c r="J79" s="45" t="s">
        <v>20</v>
      </c>
      <c r="L79" s="54"/>
      <c r="O79" s="312"/>
      <c r="P79" s="190"/>
      <c r="Q79" s="117"/>
      <c r="R79" s="117"/>
      <c r="S79" s="117"/>
      <c r="T79" s="117"/>
      <c r="W79" s="117"/>
      <c r="X79" s="117"/>
    </row>
    <row r="80" spans="2:25" s="45" customFormat="1" ht="30">
      <c r="B80" s="117"/>
      <c r="C80" s="117"/>
      <c r="D80" s="117"/>
      <c r="E80" s="117"/>
      <c r="F80" s="117"/>
      <c r="G80" s="118"/>
      <c r="I80" s="54"/>
      <c r="L80" s="2" t="s">
        <v>413</v>
      </c>
      <c r="M80" s="174" t="str">
        <f>CONCATENATE("roster_line_",N77)</f>
        <v>roster_line_q16504_2</v>
      </c>
      <c r="N80" s="45" t="str">
        <f>CONCATENATE(N77, "_1")</f>
        <v>q16504_2_1</v>
      </c>
      <c r="O80" s="312"/>
      <c r="P80" s="190"/>
      <c r="Q80" s="117"/>
      <c r="R80" s="117"/>
      <c r="S80" s="117" t="str">
        <f>K69</f>
        <v>selected(data('q16501_2'),'1')</v>
      </c>
      <c r="T80" s="117"/>
      <c r="V80" s="31"/>
      <c r="W80" s="117"/>
      <c r="X80" s="117"/>
      <c r="Y80" s="45" t="b">
        <v>1</v>
      </c>
    </row>
    <row r="81" spans="2:25" s="45" customFormat="1" ht="75">
      <c r="B81" s="117"/>
      <c r="C81" s="117"/>
      <c r="D81" s="117"/>
      <c r="E81" s="117"/>
      <c r="F81" s="117"/>
      <c r="G81" s="118"/>
      <c r="I81" s="54"/>
      <c r="L81" s="54" t="s">
        <v>18</v>
      </c>
      <c r="M81" s="45" t="s">
        <v>17</v>
      </c>
      <c r="N81" s="45" t="str">
        <f>CONCATENATE("q",$I$18, "_",$I$25)</f>
        <v>q16505_2</v>
      </c>
      <c r="O81" s="312" t="str">
        <f>CONCATENATE(SUBSTITUTE(N81, "q",""), ". ", SUBSTITUTE($E$18, "[item]",$E$25))</f>
        <v xml:space="preserve">16505_2. هل عمل أي شخص آخر من الأسرة على منتجات حليب أخرى ( جبن، زبدة، قشطة) ؟
</v>
      </c>
      <c r="P81" s="190" t="str">
        <f>CONCATENATE(N81, ". ", SUBSTITUTE($B$18, "[item]",$B$25))</f>
        <v>q16505_2. Did anyone else from the household work on Other dairy products (ex. cheese, butter, cream)  ?</v>
      </c>
      <c r="Q81" s="117"/>
      <c r="R81" s="117"/>
      <c r="S81" s="117" t="str">
        <f>K69</f>
        <v>selected(data('q16501_2'),'1')</v>
      </c>
      <c r="T81" s="117"/>
      <c r="W81" s="117"/>
      <c r="X81" s="117"/>
      <c r="Y81" s="45" t="b">
        <v>1</v>
      </c>
    </row>
    <row r="82" spans="2:25">
      <c r="C82" s="407"/>
      <c r="D82" s="212"/>
      <c r="F82" s="407"/>
      <c r="I82" s="184"/>
      <c r="J82" s="405" t="s">
        <v>21</v>
      </c>
      <c r="L82" s="19"/>
      <c r="O82" s="30"/>
      <c r="P82" s="30"/>
      <c r="Q82" s="116"/>
      <c r="Y82" s="19"/>
    </row>
    <row r="83" spans="2:25">
      <c r="C83" s="407"/>
      <c r="D83" s="212"/>
      <c r="F83" s="407"/>
      <c r="I83" s="184"/>
      <c r="J83" s="178" t="s">
        <v>24</v>
      </c>
      <c r="L83" s="19"/>
      <c r="O83" s="30"/>
      <c r="P83" s="30"/>
      <c r="Q83" s="116"/>
      <c r="Y83" s="19"/>
    </row>
    <row r="84" spans="2:25">
      <c r="C84" s="407"/>
      <c r="D84" s="212"/>
      <c r="F84" s="407"/>
      <c r="I84" s="184"/>
      <c r="J84" s="88" t="s">
        <v>23</v>
      </c>
      <c r="K84" s="64" t="str">
        <f>CONCATENATE("selected(data('",N81,"'),'1') &amp;&amp; ",K69)</f>
        <v>selected(data('q16505_2'),'1') &amp;&amp; selected(data('q16501_2'),'1')</v>
      </c>
      <c r="L84" s="19"/>
      <c r="O84" s="30"/>
      <c r="P84" s="30"/>
      <c r="Q84" s="116"/>
      <c r="Y84" s="19"/>
    </row>
    <row r="85" spans="2:25" s="45" customFormat="1" ht="75">
      <c r="B85" s="117"/>
      <c r="C85" s="117"/>
      <c r="D85" s="117"/>
      <c r="E85" s="117"/>
      <c r="F85" s="117"/>
      <c r="G85" s="118"/>
      <c r="I85" s="54"/>
      <c r="L85" s="54" t="s">
        <v>174</v>
      </c>
      <c r="M85" s="45" t="s">
        <v>206</v>
      </c>
      <c r="N85" s="45" t="str">
        <f>CONCATENATE("q",$I$19, "_",$I$25)</f>
        <v>q16506_2</v>
      </c>
      <c r="O85" s="312" t="str">
        <f>CONCATENATE(SUBSTITUTE(N85, "q",""), ". ", SUBSTITUTE($E$19, "[item]",$E$25))</f>
        <v>16506_2. من ثانى فرد من أفراد الأسرة عمل أكثر على منتجات حليب أخرى ( جبن، زبدة، قشطة) ؟</v>
      </c>
      <c r="P85" s="190" t="str">
        <f>CONCATENATE(N85, ". ", SUBSTITUTE($B$19, "[item]",$B$25))</f>
        <v>q16506_2. Who from the household worked second most on Other dairy products (ex. cheese, butter, cream) ?</v>
      </c>
      <c r="Q85" s="117"/>
      <c r="R85" s="117"/>
      <c r="S85" s="117" t="str">
        <f>K84</f>
        <v>selected(data('q16505_2'),'1') &amp;&amp; selected(data('q16501_2'),'1')</v>
      </c>
      <c r="T85" s="117"/>
      <c r="Y85" s="45" t="b">
        <v>1</v>
      </c>
    </row>
    <row r="86" spans="2:25" s="45" customFormat="1">
      <c r="B86" s="117"/>
      <c r="C86" s="117"/>
      <c r="D86" s="117"/>
      <c r="E86" s="117"/>
      <c r="F86" s="117"/>
      <c r="G86" s="118"/>
      <c r="I86" s="54"/>
      <c r="J86" s="45" t="s">
        <v>20</v>
      </c>
      <c r="L86" s="54"/>
      <c r="O86" s="312"/>
      <c r="P86" s="190"/>
      <c r="Q86" s="117"/>
      <c r="R86" s="117"/>
      <c r="S86" s="117"/>
      <c r="T86" s="117"/>
    </row>
    <row r="87" spans="2:25" s="45" customFormat="1" ht="60">
      <c r="B87" s="117"/>
      <c r="C87" s="117"/>
      <c r="D87" s="117"/>
      <c r="E87" s="117"/>
      <c r="F87" s="117"/>
      <c r="G87" s="118"/>
      <c r="I87" s="54"/>
      <c r="L87" s="2" t="s">
        <v>413</v>
      </c>
      <c r="M87" s="174" t="str">
        <f>CONCATENATE("roster_line_",N85)</f>
        <v>roster_line_q16506_2</v>
      </c>
      <c r="N87" s="45" t="str">
        <f>CONCATENATE(N85, "_1")</f>
        <v>q16506_2_1</v>
      </c>
      <c r="O87" s="312"/>
      <c r="P87" s="190"/>
      <c r="Q87" s="117"/>
      <c r="R87" s="117"/>
      <c r="S87" s="117" t="str">
        <f>K84</f>
        <v>selected(data('q16505_2'),'1') &amp;&amp; selected(data('q16501_2'),'1')</v>
      </c>
      <c r="T87" s="117"/>
      <c r="V87" s="31" t="str">
        <f>CONCATENATE("(data('",N77,"') != data('",N85,"')) || selected(data('",N81,"'), '2') || selected(data('",N68,"'), '2')  || data('valid_overall') == 0")</f>
        <v>(data('q16504_2') != data('q16506_2')) || selected(data('q16505_2'), '2') || selected(data('q16501_2'), '2')  || data('valid_overall') == 0</v>
      </c>
      <c r="W87" s="31" t="s">
        <v>1033</v>
      </c>
      <c r="X87" s="31" t="s">
        <v>555</v>
      </c>
      <c r="Y87" s="45" t="b">
        <v>1</v>
      </c>
    </row>
    <row r="88" spans="2:25" s="45" customFormat="1" ht="75">
      <c r="B88" s="117"/>
      <c r="C88" s="117"/>
      <c r="D88" s="117"/>
      <c r="E88" s="117"/>
      <c r="F88" s="117"/>
      <c r="G88" s="118"/>
      <c r="I88" s="54"/>
      <c r="L88" s="54" t="s">
        <v>18</v>
      </c>
      <c r="M88" s="45" t="s">
        <v>17</v>
      </c>
      <c r="N88" s="45" t="str">
        <f>CONCATENATE("q",$I$20, "_",$I$25)</f>
        <v>q16507_2</v>
      </c>
      <c r="O88" s="312" t="str">
        <f>CONCATENATE(SUBSTITUTE(N88, "q",""), ". ", SUBSTITUTE($E$20, "[item]",$E$25))</f>
        <v xml:space="preserve">16507_2. هل عمل أي شخص آخر من الأسرة على منتجات حليب أخرى ( جبن، زبدة، قشطة) ؟
</v>
      </c>
      <c r="P88" s="190" t="str">
        <f>CONCATENATE(N88, ". ", SUBSTITUTE($B$20, "[item]",$B$25))</f>
        <v>q16507_2. Did anyone else from the household work on on Other dairy products (ex. cheese, butter, cream)  ?</v>
      </c>
      <c r="Q88" s="117"/>
      <c r="R88" s="117"/>
      <c r="S88" s="117" t="str">
        <f>K84</f>
        <v>selected(data('q16505_2'),'1') &amp;&amp; selected(data('q16501_2'),'1')</v>
      </c>
      <c r="T88" s="117"/>
      <c r="W88" s="117"/>
      <c r="X88" s="117"/>
      <c r="Y88" s="45" t="b">
        <v>1</v>
      </c>
    </row>
    <row r="89" spans="2:25">
      <c r="C89" s="407"/>
      <c r="D89" s="212"/>
      <c r="F89" s="407"/>
      <c r="I89" s="184"/>
      <c r="J89" s="405" t="s">
        <v>21</v>
      </c>
      <c r="L89" s="19"/>
      <c r="O89" s="30"/>
      <c r="P89" s="30"/>
      <c r="Q89" s="116"/>
      <c r="V89" s="45"/>
      <c r="W89" s="45"/>
      <c r="X89" s="45"/>
      <c r="Y89" s="19"/>
    </row>
    <row r="90" spans="2:25">
      <c r="C90" s="407"/>
      <c r="D90" s="212"/>
      <c r="F90" s="407"/>
      <c r="I90" s="184"/>
      <c r="J90" s="88" t="s">
        <v>24</v>
      </c>
      <c r="L90" s="19"/>
      <c r="O90" s="30"/>
      <c r="P90" s="30"/>
      <c r="Q90" s="116"/>
      <c r="V90" s="45"/>
      <c r="W90" s="117"/>
      <c r="X90" s="117"/>
      <c r="Y90" s="19"/>
    </row>
    <row r="91" spans="2:25">
      <c r="C91" s="407"/>
      <c r="D91" s="212"/>
      <c r="F91" s="407"/>
      <c r="I91" s="184"/>
      <c r="J91" s="88" t="s">
        <v>23</v>
      </c>
      <c r="K91" s="64" t="str">
        <f>CONCATENATE("selected(data('",N88,"'),'1') &amp;&amp; ",K84)</f>
        <v>selected(data('q16507_2'),'1') &amp;&amp; selected(data('q16505_2'),'1') &amp;&amp; selected(data('q16501_2'),'1')</v>
      </c>
      <c r="L91" s="19"/>
      <c r="O91" s="30"/>
      <c r="P91" s="30"/>
      <c r="Q91" s="116"/>
      <c r="Y91" s="19"/>
    </row>
    <row r="92" spans="2:25" s="45" customFormat="1" ht="75">
      <c r="B92" s="117"/>
      <c r="C92" s="117"/>
      <c r="D92" s="117"/>
      <c r="E92" s="117"/>
      <c r="F92" s="117"/>
      <c r="G92" s="118"/>
      <c r="I92" s="54"/>
      <c r="L92" s="54" t="s">
        <v>174</v>
      </c>
      <c r="M92" s="45" t="s">
        <v>206</v>
      </c>
      <c r="N92" s="45" t="str">
        <f>CONCATENATE("q",$I$21, "_",$I$25)</f>
        <v>q16508_2</v>
      </c>
      <c r="O92" s="312" t="str">
        <f>CONCATENATE(SUBSTITUTE(N92, "q",""), ". ", SUBSTITUTE($E$21, "[item]",$E$25))</f>
        <v>16508_2. من ثالث فرد من أفراد الأسرة عمل أكثر على منتجات حليب أخرى ( جبن، زبدة، قشطة) ؟</v>
      </c>
      <c r="P92" s="190" t="str">
        <f>CONCATENATE(N92, ". ", SUBSTITUTE($B$21, "[item]",$B$25))</f>
        <v>q16508_2. Who from the household work on third most on Other dairy products (ex. cheese, butter, cream)  ?</v>
      </c>
      <c r="Q92" s="117"/>
      <c r="R92" s="117"/>
      <c r="S92" s="117" t="str">
        <f>K91</f>
        <v>selected(data('q16507_2'),'1') &amp;&amp; selected(data('q16505_2'),'1') &amp;&amp; selected(data('q16501_2'),'1')</v>
      </c>
      <c r="T92" s="117"/>
      <c r="V92" s="64"/>
      <c r="W92" s="64"/>
      <c r="X92" s="64"/>
      <c r="Y92" s="45" t="b">
        <v>1</v>
      </c>
    </row>
    <row r="93" spans="2:25" s="45" customFormat="1">
      <c r="B93" s="117"/>
      <c r="C93" s="117"/>
      <c r="D93" s="117"/>
      <c r="E93" s="117"/>
      <c r="F93" s="117"/>
      <c r="G93" s="118"/>
      <c r="I93" s="54"/>
      <c r="J93" s="88" t="s">
        <v>24</v>
      </c>
      <c r="L93" s="54"/>
      <c r="O93" s="312"/>
      <c r="P93" s="190"/>
      <c r="Q93" s="117"/>
      <c r="R93" s="117"/>
      <c r="S93" s="117"/>
      <c r="T93" s="117"/>
      <c r="V93" s="64"/>
      <c r="W93" s="64"/>
      <c r="X93" s="64"/>
    </row>
    <row r="94" spans="2:25" s="45" customFormat="1">
      <c r="B94" s="117"/>
      <c r="C94" s="117"/>
      <c r="D94" s="117"/>
      <c r="E94" s="117"/>
      <c r="F94" s="117"/>
      <c r="G94" s="118"/>
      <c r="I94" s="54"/>
      <c r="J94" s="45" t="s">
        <v>20</v>
      </c>
      <c r="L94" s="54"/>
      <c r="O94" s="312"/>
      <c r="P94" s="190"/>
      <c r="Q94" s="117"/>
      <c r="R94" s="117"/>
      <c r="S94" s="117"/>
      <c r="T94" s="117"/>
    </row>
    <row r="95" spans="2:25" s="45" customFormat="1">
      <c r="B95" s="117"/>
      <c r="C95" s="117"/>
      <c r="D95" s="117"/>
      <c r="E95" s="117"/>
      <c r="F95" s="117"/>
      <c r="G95" s="118"/>
      <c r="I95" s="54"/>
      <c r="J95" s="88" t="s">
        <v>23</v>
      </c>
      <c r="K95" s="45" t="str">
        <f>K91</f>
        <v>selected(data('q16507_2'),'1') &amp;&amp; selected(data('q16505_2'),'1') &amp;&amp; selected(data('q16501_2'),'1')</v>
      </c>
      <c r="L95" s="54"/>
      <c r="O95" s="312"/>
      <c r="P95" s="190"/>
      <c r="Q95" s="117"/>
      <c r="R95" s="117"/>
      <c r="S95" s="117"/>
      <c r="T95" s="117"/>
      <c r="W95" s="117"/>
      <c r="X95" s="117"/>
    </row>
    <row r="96" spans="2:25" s="45" customFormat="1" ht="105">
      <c r="B96" s="117"/>
      <c r="C96" s="117"/>
      <c r="D96" s="117"/>
      <c r="E96" s="117"/>
      <c r="F96" s="117"/>
      <c r="G96" s="118"/>
      <c r="I96" s="54"/>
      <c r="L96" s="2" t="s">
        <v>413</v>
      </c>
      <c r="M96" s="174" t="str">
        <f>CONCATENATE("roster_line_",N92)</f>
        <v>roster_line_q16508_2</v>
      </c>
      <c r="N96" s="45" t="str">
        <f>CONCATENATE(N92, "_1")</f>
        <v>q16508_2_1</v>
      </c>
      <c r="O96" s="312"/>
      <c r="P96" s="190"/>
      <c r="Q96" s="117"/>
      <c r="R96" s="117"/>
      <c r="S96" s="117" t="str">
        <f>K91</f>
        <v>selected(data('q16507_2'),'1') &amp;&amp; selected(data('q16505_2'),'1') &amp;&amp; selected(data('q16501_2'),'1')</v>
      </c>
      <c r="T96" s="117"/>
      <c r="V96" s="31" t="str">
        <f>CONCATENATE("(data('",N77,"') != data('",N85,"') &amp;&amp; data('",N77,"') != data('",N92,"') &amp;&amp; data('",N92,"') != data('",N85,"') ) || selected(data('",N68,"'), '2') || selected(data('",N81,"'), '2') || selected(data('",N88,"'), '2') || data('valid_overall') == 0")</f>
        <v>(data('q16504_2') != data('q16506_2') &amp;&amp; data('q16504_2') != data('q16508_2') &amp;&amp; data('q16508_2') != data('q16506_2') ) || selected(data('q16501_2'), '2') || selected(data('q16505_2'), '2') || selected(data('q16507_2'), '2') || data('valid_overall') == 0</v>
      </c>
      <c r="W96" s="31" t="s">
        <v>1033</v>
      </c>
      <c r="X96" s="31" t="s">
        <v>555</v>
      </c>
      <c r="Y96" s="45" t="b">
        <v>1</v>
      </c>
    </row>
    <row r="97" spans="2:25" s="45" customFormat="1">
      <c r="B97" s="117"/>
      <c r="C97" s="117"/>
      <c r="D97" s="117"/>
      <c r="E97" s="117"/>
      <c r="F97" s="117"/>
      <c r="G97" s="118"/>
      <c r="I97" s="54"/>
      <c r="L97" s="54"/>
      <c r="O97" s="312"/>
      <c r="P97" s="190"/>
      <c r="Q97" s="117"/>
      <c r="R97" s="117"/>
      <c r="S97" s="117"/>
      <c r="T97" s="117"/>
      <c r="V97" s="31"/>
      <c r="W97" s="117"/>
      <c r="X97" s="117"/>
    </row>
    <row r="98" spans="2:25" s="435" customFormat="1">
      <c r="B98" s="436"/>
      <c r="C98" s="436"/>
      <c r="D98" s="437"/>
      <c r="E98" s="438"/>
      <c r="F98" s="438"/>
      <c r="H98" s="439"/>
      <c r="I98" s="440"/>
      <c r="K98" s="436"/>
      <c r="L98" s="440"/>
      <c r="M98" s="441"/>
      <c r="N98" s="440"/>
      <c r="O98" s="438"/>
      <c r="P98" s="436"/>
      <c r="Q98" s="440"/>
      <c r="R98" s="440"/>
      <c r="S98" s="440"/>
      <c r="T98" s="440"/>
      <c r="U98" s="440"/>
      <c r="V98" s="440"/>
      <c r="W98" s="442"/>
      <c r="X98" s="436"/>
    </row>
    <row r="99" spans="2:25" s="45" customFormat="1">
      <c r="B99" s="117"/>
      <c r="C99" s="117"/>
      <c r="D99" s="117"/>
      <c r="E99" s="117"/>
      <c r="F99" s="117"/>
      <c r="G99" s="118"/>
      <c r="I99" s="54"/>
      <c r="J99" s="178" t="s">
        <v>24</v>
      </c>
      <c r="L99" s="54"/>
      <c r="O99" s="312"/>
      <c r="P99" s="190"/>
      <c r="Q99" s="117"/>
      <c r="R99" s="117"/>
      <c r="S99" s="117"/>
      <c r="T99" s="117"/>
      <c r="W99" s="117"/>
      <c r="X99" s="117"/>
    </row>
    <row r="100" spans="2:25" s="45" customFormat="1" ht="45">
      <c r="B100" s="117"/>
      <c r="C100" s="117"/>
      <c r="D100" s="117"/>
      <c r="E100" s="117"/>
      <c r="F100" s="117"/>
      <c r="G100" s="118"/>
      <c r="I100" s="54"/>
      <c r="L100" s="54" t="s">
        <v>18</v>
      </c>
      <c r="M100" s="45" t="s">
        <v>17</v>
      </c>
      <c r="N100" s="45" t="str">
        <f>CONCATENATE("q",$I$14, "_",$I$26)</f>
        <v>q16501_3</v>
      </c>
      <c r="O100" s="312" t="str">
        <f>CONCATENATE(SUBSTITUTE(N100, "q",""), ". ", SUBSTITUTE($E$14, "[item]",$E$26))</f>
        <v>16501_3. هل كان للأسرة أي مبيعات من البيض خلال الـ12 شهر؟</v>
      </c>
      <c r="P100" s="190" t="str">
        <f>CONCATENATE(N100, ". ", SUBSTITUTE($B$14, "[item]",$B$26))</f>
        <v>q16501_3. Did you have any sales of Eggs  in the past 12 months?</v>
      </c>
      <c r="Q100" s="117"/>
      <c r="R100" s="117"/>
      <c r="S100" s="117" t="s">
        <v>587</v>
      </c>
      <c r="T100" s="117"/>
      <c r="W100" s="117"/>
      <c r="X100" s="117"/>
    </row>
    <row r="101" spans="2:25">
      <c r="C101" s="407"/>
      <c r="D101" s="212"/>
      <c r="F101" s="407"/>
      <c r="I101" s="184"/>
      <c r="J101" s="88" t="s">
        <v>23</v>
      </c>
      <c r="K101" s="64" t="str">
        <f>CONCATENATE("selected(data('",N100,"'),'1')")</f>
        <v>selected(data('q16501_3'),'1')</v>
      </c>
      <c r="L101" s="19"/>
      <c r="O101" s="30"/>
      <c r="P101" s="30"/>
      <c r="Q101" s="116"/>
      <c r="Y101" s="19"/>
    </row>
    <row r="102" spans="2:25" s="45" customFormat="1" ht="45">
      <c r="B102" s="117"/>
      <c r="C102" s="117"/>
      <c r="D102" s="117"/>
      <c r="E102" s="117"/>
      <c r="F102" s="117"/>
      <c r="G102" s="118"/>
      <c r="I102" s="54"/>
      <c r="L102" s="54" t="s">
        <v>19</v>
      </c>
      <c r="N102" s="45" t="str">
        <f>CONCATENATE("q",$I$15, "_",$I$26)</f>
        <v>q16502_3</v>
      </c>
      <c r="O102" s="312" t="str">
        <f>CONCATENATE(SUBSTITUTE(N102, "q",""), ". ", SUBSTITUTE($E$15, "[item]",$E$26))</f>
        <v>16502_3. كم كانت قيمة تلك المبيعات من البيض (بالجنيه)؟</v>
      </c>
      <c r="P102" s="190" t="str">
        <f>CONCATENATE(N102, ". ", SUBSTITUTE($B$15, "[item]",$B$26))</f>
        <v>q16502_3. What was the value of these sales? (in pounds)</v>
      </c>
      <c r="Q102" s="117"/>
      <c r="R102" s="117"/>
      <c r="S102" s="117" t="str">
        <f>K101</f>
        <v>selected(data('q16501_3'),'1')</v>
      </c>
      <c r="T102" s="117"/>
      <c r="W102" s="117"/>
      <c r="X102" s="117"/>
      <c r="Y102" s="45" t="b">
        <v>1</v>
      </c>
    </row>
    <row r="103" spans="2:25" s="45" customFormat="1" ht="45">
      <c r="B103" s="117"/>
      <c r="C103" s="117"/>
      <c r="D103" s="117"/>
      <c r="E103" s="117"/>
      <c r="F103" s="117"/>
      <c r="G103" s="118"/>
      <c r="I103" s="54"/>
      <c r="L103" s="54" t="s">
        <v>174</v>
      </c>
      <c r="M103" s="45" t="s">
        <v>206</v>
      </c>
      <c r="N103" s="45" t="str">
        <f>CONCATENATE("q",$I$16, "_",$I$26)</f>
        <v>q16503_3</v>
      </c>
      <c r="O103" s="312" t="str">
        <f>CONCATENATE(SUBSTITUTE(N103, "q",""), ". ", SUBSTITUTE($E$16, "[item]",$E$26))</f>
        <v>16503_3. من من أفراد الأسرة هو أكثر من اتخذ القرارات فيما يخص البيض؟</v>
      </c>
      <c r="P103" s="190" t="str">
        <f>CONCATENATE(N103, ". ", SUBSTITUTE($B$16, "[item]",$B$26))</f>
        <v>q16503_3. Who from the household decided most on  Eggs ?</v>
      </c>
      <c r="Q103" s="117" t="s">
        <v>1514</v>
      </c>
      <c r="R103" s="117" t="s">
        <v>1420</v>
      </c>
      <c r="S103" s="117" t="str">
        <f>K101</f>
        <v>selected(data('q16501_3'),'1')</v>
      </c>
      <c r="T103" s="117"/>
      <c r="W103" s="117"/>
      <c r="X103" s="117"/>
      <c r="Y103" s="45" t="b">
        <v>1</v>
      </c>
    </row>
    <row r="104" spans="2:25" s="45" customFormat="1">
      <c r="B104" s="117"/>
      <c r="C104" s="117"/>
      <c r="D104" s="117"/>
      <c r="E104" s="117"/>
      <c r="F104" s="117"/>
      <c r="G104" s="118"/>
      <c r="I104" s="54"/>
      <c r="J104" s="178" t="s">
        <v>24</v>
      </c>
      <c r="L104" s="54"/>
      <c r="O104" s="312"/>
      <c r="P104" s="190"/>
      <c r="Q104" s="117"/>
      <c r="R104" s="117"/>
      <c r="S104" s="117"/>
      <c r="T104" s="117"/>
      <c r="W104" s="117"/>
      <c r="X104" s="117"/>
    </row>
    <row r="105" spans="2:25" s="45" customFormat="1">
      <c r="B105" s="117"/>
      <c r="C105" s="117"/>
      <c r="D105" s="117"/>
      <c r="E105" s="117"/>
      <c r="F105" s="117"/>
      <c r="G105" s="118"/>
      <c r="I105" s="54"/>
      <c r="J105" s="45" t="s">
        <v>21</v>
      </c>
      <c r="L105" s="54"/>
      <c r="O105" s="312"/>
      <c r="P105" s="190"/>
      <c r="Q105" s="117"/>
      <c r="R105" s="117"/>
      <c r="S105" s="117"/>
      <c r="T105" s="117"/>
      <c r="W105" s="117"/>
      <c r="X105" s="117"/>
    </row>
    <row r="106" spans="2:25" s="45" customFormat="1">
      <c r="B106" s="117"/>
      <c r="C106" s="117"/>
      <c r="D106" s="117"/>
      <c r="E106" s="117"/>
      <c r="F106" s="117"/>
      <c r="G106" s="118"/>
      <c r="I106" s="54"/>
      <c r="J106" s="178" t="s">
        <v>23</v>
      </c>
      <c r="K106" s="45" t="str">
        <f>K101</f>
        <v>selected(data('q16501_3'),'1')</v>
      </c>
      <c r="L106" s="54"/>
      <c r="O106" s="312"/>
      <c r="P106" s="190"/>
      <c r="Q106" s="117"/>
      <c r="R106" s="117"/>
      <c r="S106" s="117"/>
      <c r="T106" s="117"/>
      <c r="W106" s="117"/>
      <c r="X106" s="117"/>
    </row>
    <row r="107" spans="2:25" s="45" customFormat="1">
      <c r="B107" s="117"/>
      <c r="C107" s="117"/>
      <c r="D107" s="117"/>
      <c r="E107" s="117"/>
      <c r="F107" s="117"/>
      <c r="G107" s="118"/>
      <c r="I107" s="54"/>
      <c r="J107" s="45" t="s">
        <v>20</v>
      </c>
      <c r="L107" s="54"/>
      <c r="O107" s="312"/>
      <c r="P107" s="190"/>
      <c r="Q107" s="117"/>
      <c r="R107" s="117"/>
      <c r="S107" s="117"/>
      <c r="T107" s="117"/>
      <c r="W107" s="117"/>
      <c r="X107" s="117"/>
    </row>
    <row r="108" spans="2:25" s="45" customFormat="1" ht="30">
      <c r="B108" s="117"/>
      <c r="C108" s="117"/>
      <c r="D108" s="117"/>
      <c r="E108" s="117"/>
      <c r="F108" s="117"/>
      <c r="G108" s="118"/>
      <c r="I108" s="54"/>
      <c r="L108" s="2" t="s">
        <v>413</v>
      </c>
      <c r="M108" s="174" t="str">
        <f>CONCATENATE("roster_line_",N103)</f>
        <v>roster_line_q16503_3</v>
      </c>
      <c r="N108" s="45" t="str">
        <f>CONCATENATE(N103, "_1")</f>
        <v>q16503_3_1</v>
      </c>
      <c r="O108" s="312"/>
      <c r="P108" s="190"/>
      <c r="Q108" s="117"/>
      <c r="R108" s="117"/>
      <c r="S108" s="117" t="str">
        <f>K101</f>
        <v>selected(data('q16501_3'),'1')</v>
      </c>
      <c r="T108" s="117"/>
      <c r="W108" s="117"/>
      <c r="X108" s="117"/>
      <c r="Y108" s="45" t="b">
        <v>1</v>
      </c>
    </row>
    <row r="109" spans="2:25" s="45" customFormat="1" ht="45">
      <c r="B109" s="117"/>
      <c r="C109" s="117"/>
      <c r="D109" s="117"/>
      <c r="E109" s="117"/>
      <c r="F109" s="117"/>
      <c r="G109" s="118"/>
      <c r="I109" s="54"/>
      <c r="L109" s="54" t="s">
        <v>174</v>
      </c>
      <c r="M109" s="45" t="s">
        <v>206</v>
      </c>
      <c r="N109" s="45" t="str">
        <f>CONCATENATE("q",$I$17, "_",$I$26)</f>
        <v>q16504_3</v>
      </c>
      <c r="O109" s="312" t="str">
        <f>CONCATENATE(SUBSTITUTE(N109, "q",""), ". ", SUBSTITUTE($E$17, "[item]",$E$26))</f>
        <v>16504_3. من من أفراد الأسرة عمل أكثر على البيض؟</v>
      </c>
      <c r="P109" s="190" t="str">
        <f>CONCATENATE(N109, ". ", SUBSTITUTE($B$17, "[item]",$B$26))</f>
        <v>q16504_3. Who from the household worked the most on Eggs  ?</v>
      </c>
      <c r="Q109" s="117"/>
      <c r="R109" s="117"/>
      <c r="S109" s="117" t="str">
        <f>K101</f>
        <v>selected(data('q16501_3'),'1')</v>
      </c>
      <c r="T109" s="117"/>
      <c r="W109" s="31"/>
      <c r="X109" s="31"/>
      <c r="Y109" s="45" t="b">
        <v>1</v>
      </c>
    </row>
    <row r="110" spans="2:25" s="45" customFormat="1">
      <c r="B110" s="117"/>
      <c r="C110" s="117"/>
      <c r="D110" s="117"/>
      <c r="E110" s="117"/>
      <c r="F110" s="117"/>
      <c r="G110" s="118"/>
      <c r="I110" s="54"/>
      <c r="J110" s="45" t="s">
        <v>21</v>
      </c>
      <c r="L110" s="54"/>
      <c r="O110" s="312"/>
      <c r="P110" s="190"/>
      <c r="Q110" s="117"/>
      <c r="R110" s="117"/>
      <c r="S110" s="117"/>
      <c r="T110" s="117"/>
      <c r="W110" s="117"/>
      <c r="X110" s="117"/>
    </row>
    <row r="111" spans="2:25" s="45" customFormat="1">
      <c r="B111" s="117"/>
      <c r="C111" s="117"/>
      <c r="D111" s="117"/>
      <c r="E111" s="117"/>
      <c r="F111" s="117"/>
      <c r="G111" s="118"/>
      <c r="I111" s="54"/>
      <c r="J111" s="45" t="s">
        <v>20</v>
      </c>
      <c r="L111" s="54"/>
      <c r="O111" s="312"/>
      <c r="P111" s="190"/>
      <c r="Q111" s="117"/>
      <c r="R111" s="117"/>
      <c r="S111" s="117"/>
      <c r="T111" s="117"/>
      <c r="W111" s="117"/>
      <c r="X111" s="117"/>
    </row>
    <row r="112" spans="2:25" s="45" customFormat="1" ht="30">
      <c r="B112" s="117"/>
      <c r="C112" s="117"/>
      <c r="D112" s="117"/>
      <c r="E112" s="117"/>
      <c r="F112" s="117"/>
      <c r="G112" s="118"/>
      <c r="I112" s="54"/>
      <c r="L112" s="2" t="s">
        <v>413</v>
      </c>
      <c r="M112" s="174" t="str">
        <f>CONCATENATE("roster_line_",N109)</f>
        <v>roster_line_q16504_3</v>
      </c>
      <c r="N112" s="45" t="str">
        <f>CONCATENATE(N109, "_1")</f>
        <v>q16504_3_1</v>
      </c>
      <c r="O112" s="312"/>
      <c r="P112" s="190"/>
      <c r="Q112" s="117"/>
      <c r="R112" s="117"/>
      <c r="S112" s="117" t="str">
        <f>K101</f>
        <v>selected(data('q16501_3'),'1')</v>
      </c>
      <c r="T112" s="117"/>
      <c r="V112" s="31"/>
      <c r="W112" s="117"/>
      <c r="X112" s="117"/>
      <c r="Y112" s="45" t="b">
        <v>1</v>
      </c>
    </row>
    <row r="113" spans="2:25" s="45" customFormat="1" ht="45">
      <c r="B113" s="117"/>
      <c r="C113" s="117"/>
      <c r="D113" s="117"/>
      <c r="E113" s="117"/>
      <c r="F113" s="117"/>
      <c r="G113" s="118"/>
      <c r="I113" s="54"/>
      <c r="L113" s="54" t="s">
        <v>18</v>
      </c>
      <c r="M113" s="45" t="s">
        <v>17</v>
      </c>
      <c r="N113" s="45" t="str">
        <f>CONCATENATE("q",$I$18, "_",$I$26)</f>
        <v>q16505_3</v>
      </c>
      <c r="O113" s="312" t="str">
        <f>CONCATENATE(SUBSTITUTE(N113, "q",""), ". ", SUBSTITUTE($E$18, "[item]",$E$26))</f>
        <v xml:space="preserve">16505_3. هل عمل أي شخص آخر من الأسرة على البيض؟
</v>
      </c>
      <c r="P113" s="190" t="str">
        <f>CONCATENATE(N113, ". ", SUBSTITUTE($B$18, "[item]",$B$26))</f>
        <v>q16505_3. Did anyone else from the household work on Eggs  ?</v>
      </c>
      <c r="Q113" s="117"/>
      <c r="R113" s="117"/>
      <c r="S113" s="117" t="str">
        <f>K101</f>
        <v>selected(data('q16501_3'),'1')</v>
      </c>
      <c r="T113" s="117"/>
      <c r="W113" s="117"/>
      <c r="X113" s="117"/>
      <c r="Y113" s="45" t="b">
        <v>1</v>
      </c>
    </row>
    <row r="114" spans="2:25">
      <c r="C114" s="407"/>
      <c r="D114" s="212"/>
      <c r="F114" s="407"/>
      <c r="I114" s="184"/>
      <c r="J114" s="405" t="s">
        <v>21</v>
      </c>
      <c r="L114" s="19"/>
      <c r="O114" s="30"/>
      <c r="P114" s="30"/>
      <c r="Q114" s="116"/>
      <c r="Y114" s="19"/>
    </row>
    <row r="115" spans="2:25">
      <c r="C115" s="407"/>
      <c r="D115" s="212"/>
      <c r="F115" s="407"/>
      <c r="I115" s="184"/>
      <c r="J115" s="178" t="s">
        <v>24</v>
      </c>
      <c r="L115" s="19"/>
      <c r="O115" s="30"/>
      <c r="P115" s="30"/>
      <c r="Q115" s="116"/>
      <c r="Y115" s="19"/>
    </row>
    <row r="116" spans="2:25">
      <c r="C116" s="407"/>
      <c r="D116" s="212"/>
      <c r="F116" s="407"/>
      <c r="I116" s="184"/>
      <c r="J116" s="88" t="s">
        <v>23</v>
      </c>
      <c r="K116" s="64" t="str">
        <f>CONCATENATE("selected(data('",N113,"'),'1') &amp;&amp; ",K101)</f>
        <v>selected(data('q16505_3'),'1') &amp;&amp; selected(data('q16501_3'),'1')</v>
      </c>
      <c r="L116" s="19"/>
      <c r="O116" s="30"/>
      <c r="P116" s="30"/>
      <c r="Q116" s="116"/>
      <c r="Y116" s="19"/>
    </row>
    <row r="117" spans="2:25" s="45" customFormat="1" ht="45">
      <c r="B117" s="117"/>
      <c r="C117" s="117"/>
      <c r="D117" s="117"/>
      <c r="E117" s="117"/>
      <c r="F117" s="117"/>
      <c r="G117" s="118"/>
      <c r="I117" s="54"/>
      <c r="L117" s="54" t="s">
        <v>174</v>
      </c>
      <c r="M117" s="45" t="s">
        <v>206</v>
      </c>
      <c r="N117" s="45" t="str">
        <f>CONCATENATE("q",$I$19, "_",$I$26)</f>
        <v>q16506_3</v>
      </c>
      <c r="O117" s="312" t="str">
        <f>CONCATENATE(SUBSTITUTE(N117, "q",""), ". ", SUBSTITUTE($E$19, "[item]",$E$26))</f>
        <v>16506_3. من ثانى فرد من أفراد الأسرة عمل أكثر على البيض؟</v>
      </c>
      <c r="P117" s="190" t="str">
        <f>CONCATENATE(N117, ". ", SUBSTITUTE($B$19, "[item]",$B$26))</f>
        <v>q16506_3. Who from the household worked second most on Eggs ?</v>
      </c>
      <c r="Q117" s="117"/>
      <c r="R117" s="117"/>
      <c r="S117" s="117" t="str">
        <f>K116</f>
        <v>selected(data('q16505_3'),'1') &amp;&amp; selected(data('q16501_3'),'1')</v>
      </c>
      <c r="T117" s="117"/>
      <c r="Y117" s="45" t="b">
        <v>1</v>
      </c>
    </row>
    <row r="118" spans="2:25" s="45" customFormat="1">
      <c r="B118" s="117"/>
      <c r="C118" s="117"/>
      <c r="D118" s="117"/>
      <c r="E118" s="117"/>
      <c r="F118" s="117"/>
      <c r="G118" s="118"/>
      <c r="I118" s="54"/>
      <c r="J118" s="45" t="s">
        <v>20</v>
      </c>
      <c r="L118" s="54"/>
      <c r="O118" s="312"/>
      <c r="P118" s="190"/>
      <c r="Q118" s="117"/>
      <c r="R118" s="117"/>
      <c r="S118" s="117"/>
      <c r="T118" s="117"/>
    </row>
    <row r="119" spans="2:25" s="45" customFormat="1" ht="60">
      <c r="B119" s="117"/>
      <c r="C119" s="117"/>
      <c r="D119" s="117"/>
      <c r="E119" s="117"/>
      <c r="F119" s="117"/>
      <c r="G119" s="118"/>
      <c r="I119" s="54"/>
      <c r="L119" s="2" t="s">
        <v>413</v>
      </c>
      <c r="M119" s="174" t="str">
        <f>CONCATENATE("roster_line_",N117)</f>
        <v>roster_line_q16506_3</v>
      </c>
      <c r="N119" s="45" t="str">
        <f>CONCATENATE(N117, "_1")</f>
        <v>q16506_3_1</v>
      </c>
      <c r="O119" s="312"/>
      <c r="P119" s="190"/>
      <c r="Q119" s="117"/>
      <c r="R119" s="117"/>
      <c r="S119" s="117" t="str">
        <f>K116</f>
        <v>selected(data('q16505_3'),'1') &amp;&amp; selected(data('q16501_3'),'1')</v>
      </c>
      <c r="T119" s="117"/>
      <c r="V119" s="31" t="str">
        <f>CONCATENATE("(data('",N109,"') != data('",N117,"')) || selected(data('",N113,"'), '2') || selected(data('",N100,"'), '2')  || data('valid_overall') == 0")</f>
        <v>(data('q16504_3') != data('q16506_3')) || selected(data('q16505_3'), '2') || selected(data('q16501_3'), '2')  || data('valid_overall') == 0</v>
      </c>
      <c r="W119" s="31" t="s">
        <v>1033</v>
      </c>
      <c r="X119" s="31" t="s">
        <v>555</v>
      </c>
      <c r="Y119" s="45" t="b">
        <v>1</v>
      </c>
    </row>
    <row r="120" spans="2:25" s="45" customFormat="1" ht="45">
      <c r="B120" s="117"/>
      <c r="C120" s="117"/>
      <c r="D120" s="117"/>
      <c r="E120" s="117"/>
      <c r="F120" s="117"/>
      <c r="G120" s="118"/>
      <c r="I120" s="54"/>
      <c r="L120" s="54" t="s">
        <v>18</v>
      </c>
      <c r="M120" s="45" t="s">
        <v>17</v>
      </c>
      <c r="N120" s="45" t="str">
        <f>CONCATENATE("q",$I$20, "_",$I$26)</f>
        <v>q16507_3</v>
      </c>
      <c r="O120" s="312" t="str">
        <f>CONCATENATE(SUBSTITUTE(N120, "q",""), ". ", SUBSTITUTE($E$20, "[item]",$E$26))</f>
        <v xml:space="preserve">16507_3. هل عمل أي شخص آخر من الأسرة على البيض؟
</v>
      </c>
      <c r="P120" s="190" t="str">
        <f>CONCATENATE(N120, ". ", SUBSTITUTE($B$20, "[item]",$B$26))</f>
        <v>q16507_3. Did anyone else from the household work on on Eggs  ?</v>
      </c>
      <c r="Q120" s="117"/>
      <c r="R120" s="117"/>
      <c r="S120" s="117" t="str">
        <f>K116</f>
        <v>selected(data('q16505_3'),'1') &amp;&amp; selected(data('q16501_3'),'1')</v>
      </c>
      <c r="T120" s="117"/>
      <c r="W120" s="117"/>
      <c r="X120" s="117"/>
      <c r="Y120" s="45" t="b">
        <v>1</v>
      </c>
    </row>
    <row r="121" spans="2:25">
      <c r="C121" s="407"/>
      <c r="D121" s="212"/>
      <c r="F121" s="407"/>
      <c r="I121" s="184"/>
      <c r="J121" s="405" t="s">
        <v>21</v>
      </c>
      <c r="L121" s="19"/>
      <c r="O121" s="30"/>
      <c r="P121" s="30"/>
      <c r="Q121" s="116"/>
      <c r="V121" s="45"/>
      <c r="W121" s="45"/>
      <c r="X121" s="45"/>
      <c r="Y121" s="19"/>
    </row>
    <row r="122" spans="2:25">
      <c r="C122" s="407"/>
      <c r="D122" s="212"/>
      <c r="F122" s="407"/>
      <c r="I122" s="184"/>
      <c r="J122" s="88" t="s">
        <v>24</v>
      </c>
      <c r="L122" s="19"/>
      <c r="O122" s="30"/>
      <c r="P122" s="30"/>
      <c r="Q122" s="116"/>
      <c r="V122" s="45"/>
      <c r="W122" s="117"/>
      <c r="X122" s="117"/>
      <c r="Y122" s="19"/>
    </row>
    <row r="123" spans="2:25">
      <c r="C123" s="407"/>
      <c r="D123" s="212"/>
      <c r="F123" s="407"/>
      <c r="I123" s="184"/>
      <c r="J123" s="88" t="s">
        <v>23</v>
      </c>
      <c r="K123" s="64" t="str">
        <f>CONCATENATE("selected(data('",N120,"'),'1') &amp;&amp; ",K116)</f>
        <v>selected(data('q16507_3'),'1') &amp;&amp; selected(data('q16505_3'),'1') &amp;&amp; selected(data('q16501_3'),'1')</v>
      </c>
      <c r="L123" s="19"/>
      <c r="O123" s="30"/>
      <c r="P123" s="30"/>
      <c r="Q123" s="116"/>
      <c r="Y123" s="19"/>
    </row>
    <row r="124" spans="2:25" s="45" customFormat="1" ht="45">
      <c r="B124" s="117"/>
      <c r="C124" s="117"/>
      <c r="D124" s="117"/>
      <c r="E124" s="117"/>
      <c r="F124" s="117"/>
      <c r="G124" s="118"/>
      <c r="I124" s="54"/>
      <c r="L124" s="54" t="s">
        <v>174</v>
      </c>
      <c r="M124" s="45" t="s">
        <v>206</v>
      </c>
      <c r="N124" s="45" t="str">
        <f>CONCATENATE("q",$I$21, "_",$I$26)</f>
        <v>q16508_3</v>
      </c>
      <c r="O124" s="312" t="str">
        <f>CONCATENATE(SUBSTITUTE(N124, "q",""), ". ", SUBSTITUTE($E$21, "[item]",$E$26))</f>
        <v>16508_3. من ثالث فرد من أفراد الأسرة عمل أكثر على البيض؟</v>
      </c>
      <c r="P124" s="190" t="str">
        <f>CONCATENATE(N124, ". ", SUBSTITUTE($B$21, "[item]",$B$26))</f>
        <v>q16508_3. Who from the household work on third most on Eggs  ?</v>
      </c>
      <c r="Q124" s="117"/>
      <c r="R124" s="117"/>
      <c r="S124" s="117" t="str">
        <f>K123</f>
        <v>selected(data('q16507_3'),'1') &amp;&amp; selected(data('q16505_3'),'1') &amp;&amp; selected(data('q16501_3'),'1')</v>
      </c>
      <c r="T124" s="117"/>
      <c r="V124" s="64"/>
      <c r="W124" s="64"/>
      <c r="X124" s="64"/>
      <c r="Y124" s="45" t="b">
        <v>1</v>
      </c>
    </row>
    <row r="125" spans="2:25" s="45" customFormat="1">
      <c r="B125" s="117"/>
      <c r="C125" s="117"/>
      <c r="D125" s="117"/>
      <c r="E125" s="117"/>
      <c r="F125" s="117"/>
      <c r="G125" s="118"/>
      <c r="I125" s="54"/>
      <c r="J125" s="88" t="s">
        <v>24</v>
      </c>
      <c r="L125" s="54"/>
      <c r="O125" s="312"/>
      <c r="P125" s="190"/>
      <c r="Q125" s="117"/>
      <c r="R125" s="117"/>
      <c r="S125" s="117"/>
      <c r="T125" s="117"/>
      <c r="V125" s="64"/>
      <c r="W125" s="64"/>
      <c r="X125" s="64"/>
    </row>
    <row r="126" spans="2:25" s="45" customFormat="1">
      <c r="B126" s="117"/>
      <c r="C126" s="117"/>
      <c r="D126" s="117"/>
      <c r="E126" s="117"/>
      <c r="F126" s="117"/>
      <c r="G126" s="118"/>
      <c r="I126" s="54"/>
      <c r="J126" s="45" t="s">
        <v>20</v>
      </c>
      <c r="L126" s="54"/>
      <c r="O126" s="312"/>
      <c r="P126" s="190"/>
      <c r="Q126" s="117"/>
      <c r="R126" s="117"/>
      <c r="S126" s="117"/>
      <c r="T126" s="117"/>
    </row>
    <row r="127" spans="2:25" s="45" customFormat="1">
      <c r="B127" s="117"/>
      <c r="C127" s="117"/>
      <c r="D127" s="117"/>
      <c r="E127" s="117"/>
      <c r="F127" s="117"/>
      <c r="G127" s="118"/>
      <c r="I127" s="54"/>
      <c r="J127" s="88" t="s">
        <v>23</v>
      </c>
      <c r="K127" s="45" t="str">
        <f>K123</f>
        <v>selected(data('q16507_3'),'1') &amp;&amp; selected(data('q16505_3'),'1') &amp;&amp; selected(data('q16501_3'),'1')</v>
      </c>
      <c r="L127" s="54"/>
      <c r="O127" s="312"/>
      <c r="P127" s="190"/>
      <c r="Q127" s="117"/>
      <c r="R127" s="117"/>
      <c r="S127" s="117"/>
      <c r="T127" s="117"/>
      <c r="W127" s="117"/>
      <c r="X127" s="117"/>
    </row>
    <row r="128" spans="2:25" s="45" customFormat="1" ht="105">
      <c r="B128" s="117"/>
      <c r="C128" s="117"/>
      <c r="D128" s="117"/>
      <c r="E128" s="117"/>
      <c r="F128" s="117"/>
      <c r="G128" s="118"/>
      <c r="I128" s="54"/>
      <c r="L128" s="2" t="s">
        <v>413</v>
      </c>
      <c r="M128" s="174" t="str">
        <f>CONCATENATE("roster_line_",N124)</f>
        <v>roster_line_q16508_3</v>
      </c>
      <c r="N128" s="45" t="str">
        <f>CONCATENATE(N124, "_1")</f>
        <v>q16508_3_1</v>
      </c>
      <c r="O128" s="312"/>
      <c r="P128" s="190"/>
      <c r="Q128" s="117"/>
      <c r="R128" s="117"/>
      <c r="S128" s="117" t="str">
        <f>K123</f>
        <v>selected(data('q16507_3'),'1') &amp;&amp; selected(data('q16505_3'),'1') &amp;&amp; selected(data('q16501_3'),'1')</v>
      </c>
      <c r="T128" s="117"/>
      <c r="V128" s="31" t="str">
        <f>CONCATENATE("(data('",N109,"') != data('",N117,"') &amp;&amp; data('",N109,"') != data('",N124,"') &amp;&amp; data('",N124,"') != data('",N117,"') ) || selected(data('",N100,"'), '2') || selected(data('",N113,"'), '2') || selected(data('",N120,"'), '2') || data('valid_overall') == 0")</f>
        <v>(data('q16504_3') != data('q16506_3') &amp;&amp; data('q16504_3') != data('q16508_3') &amp;&amp; data('q16508_3') != data('q16506_3') ) || selected(data('q16501_3'), '2') || selected(data('q16505_3'), '2') || selected(data('q16507_3'), '2') || data('valid_overall') == 0</v>
      </c>
      <c r="W128" s="31" t="s">
        <v>1033</v>
      </c>
      <c r="X128" s="31" t="s">
        <v>555</v>
      </c>
      <c r="Y128" s="45" t="b">
        <v>1</v>
      </c>
    </row>
    <row r="129" spans="2:25" s="45" customFormat="1">
      <c r="B129" s="117"/>
      <c r="C129" s="117"/>
      <c r="D129" s="117"/>
      <c r="E129" s="117"/>
      <c r="F129" s="117"/>
      <c r="G129" s="118"/>
      <c r="I129" s="54"/>
      <c r="L129" s="54"/>
      <c r="O129" s="312"/>
      <c r="P129" s="190"/>
      <c r="Q129" s="117"/>
      <c r="R129" s="117"/>
      <c r="S129" s="117"/>
      <c r="T129" s="117"/>
      <c r="V129" s="31"/>
      <c r="W129" s="117"/>
      <c r="X129" s="117"/>
    </row>
    <row r="130" spans="2:25" s="435" customFormat="1">
      <c r="B130" s="436"/>
      <c r="C130" s="436"/>
      <c r="D130" s="437"/>
      <c r="E130" s="438"/>
      <c r="F130" s="438"/>
      <c r="H130" s="439"/>
      <c r="I130" s="440"/>
      <c r="K130" s="436"/>
      <c r="L130" s="440"/>
      <c r="M130" s="441"/>
      <c r="N130" s="440"/>
      <c r="O130" s="438"/>
      <c r="P130" s="436"/>
      <c r="Q130" s="440"/>
      <c r="R130" s="440"/>
      <c r="S130" s="440"/>
      <c r="T130" s="440"/>
      <c r="U130" s="440"/>
      <c r="V130" s="440"/>
      <c r="W130" s="442"/>
      <c r="X130" s="436"/>
    </row>
    <row r="131" spans="2:25" s="45" customFormat="1">
      <c r="B131" s="117"/>
      <c r="C131" s="117"/>
      <c r="D131" s="117"/>
      <c r="E131" s="117"/>
      <c r="F131" s="117"/>
      <c r="G131" s="118"/>
      <c r="I131" s="54"/>
      <c r="J131" s="178" t="s">
        <v>24</v>
      </c>
      <c r="L131" s="54"/>
      <c r="O131" s="312"/>
      <c r="P131" s="190"/>
      <c r="Q131" s="117"/>
      <c r="R131" s="117"/>
      <c r="S131" s="117"/>
      <c r="T131" s="117"/>
      <c r="W131" s="117"/>
      <c r="X131" s="117"/>
    </row>
    <row r="132" spans="2:25" s="45" customFormat="1" ht="45">
      <c r="B132" s="117"/>
      <c r="C132" s="117"/>
      <c r="D132" s="117"/>
      <c r="E132" s="117"/>
      <c r="F132" s="117"/>
      <c r="G132" s="118"/>
      <c r="I132" s="54"/>
      <c r="L132" s="54" t="s">
        <v>18</v>
      </c>
      <c r="M132" s="45" t="s">
        <v>17</v>
      </c>
      <c r="N132" s="45" t="str">
        <f>CONCATENATE("q",$I$14, "_",$I$27)</f>
        <v>q16501_4</v>
      </c>
      <c r="O132" s="312" t="str">
        <f>CONCATENATE(SUBSTITUTE(N132, "q",""), ". ", SUBSTITUTE($E$14, "[item]",$E$27))</f>
        <v>16501_4. هل كان للأسرة أي مبيعات من سمك خلال الـ12 شهر؟</v>
      </c>
      <c r="P132" s="190" t="str">
        <f>CONCATENATE(N132, ". ", SUBSTITUTE($B$14, "[item]",$B$27))</f>
        <v>q16501_4. Did you have any sales of Fish  in the past 12 months?</v>
      </c>
      <c r="Q132" s="117"/>
      <c r="R132" s="117"/>
      <c r="S132" s="117" t="s">
        <v>587</v>
      </c>
      <c r="T132" s="117"/>
      <c r="W132" s="117"/>
      <c r="X132" s="117"/>
    </row>
    <row r="133" spans="2:25">
      <c r="C133" s="407"/>
      <c r="D133" s="212"/>
      <c r="F133" s="407"/>
      <c r="I133" s="184"/>
      <c r="J133" s="88" t="s">
        <v>23</v>
      </c>
      <c r="K133" s="64" t="str">
        <f>CONCATENATE("selected(data('",N132,"'),'1')")</f>
        <v>selected(data('q16501_4'),'1')</v>
      </c>
      <c r="L133" s="19"/>
      <c r="O133" s="30"/>
      <c r="P133" s="30"/>
      <c r="Q133" s="116"/>
      <c r="Y133" s="19"/>
    </row>
    <row r="134" spans="2:25" s="45" customFormat="1" ht="45">
      <c r="B134" s="117"/>
      <c r="C134" s="117"/>
      <c r="D134" s="117"/>
      <c r="E134" s="117"/>
      <c r="F134" s="117"/>
      <c r="G134" s="118"/>
      <c r="I134" s="54"/>
      <c r="L134" s="54" t="s">
        <v>19</v>
      </c>
      <c r="N134" s="45" t="str">
        <f>CONCATENATE("q",$I$15, "_",$I$27)</f>
        <v>q16502_4</v>
      </c>
      <c r="O134" s="312" t="str">
        <f>CONCATENATE(SUBSTITUTE(N134, "q",""), ". ", SUBSTITUTE($E$15, "[item]",$E$27))</f>
        <v>16502_4. كم كانت قيمة تلك المبيعات من سمك (بالجنيه)؟</v>
      </c>
      <c r="P134" s="190" t="str">
        <f>CONCATENATE(N134, ". ", SUBSTITUTE($B$15, "[item]",$B$27))</f>
        <v>q16502_4. What was the value of these sales? (in pounds)</v>
      </c>
      <c r="Q134" s="117" t="s">
        <v>1514</v>
      </c>
      <c r="R134" s="117" t="s">
        <v>1420</v>
      </c>
      <c r="S134" s="117" t="str">
        <f>K133</f>
        <v>selected(data('q16501_4'),'1')</v>
      </c>
      <c r="T134" s="117"/>
      <c r="W134" s="117"/>
      <c r="X134" s="117"/>
      <c r="Y134" s="45" t="b">
        <v>1</v>
      </c>
    </row>
    <row r="135" spans="2:25" s="45" customFormat="1" ht="45">
      <c r="B135" s="117"/>
      <c r="C135" s="117"/>
      <c r="D135" s="117"/>
      <c r="E135" s="117"/>
      <c r="F135" s="117"/>
      <c r="G135" s="118"/>
      <c r="I135" s="54"/>
      <c r="L135" s="54" t="s">
        <v>174</v>
      </c>
      <c r="M135" s="45" t="s">
        <v>206</v>
      </c>
      <c r="N135" s="45" t="str">
        <f>CONCATENATE("q",$I$16, "_",$I$27)</f>
        <v>q16503_4</v>
      </c>
      <c r="O135" s="312" t="str">
        <f>CONCATENATE(SUBSTITUTE(N135, "q",""), ". ", SUBSTITUTE($E$16, "[item]",$E$27))</f>
        <v>16503_4. من من أفراد الأسرة هو أكثر من اتخذ القرارات فيما يخص سمك؟</v>
      </c>
      <c r="P135" s="190" t="str">
        <f>CONCATENATE(N135, ". ", SUBSTITUTE($B$16, "[item]",$B$27))</f>
        <v>q16503_4. Who from the household decided most on  Fish ?</v>
      </c>
      <c r="Q135" s="117"/>
      <c r="R135" s="117"/>
      <c r="S135" s="117" t="str">
        <f>K133</f>
        <v>selected(data('q16501_4'),'1')</v>
      </c>
      <c r="T135" s="117"/>
      <c r="W135" s="117"/>
      <c r="X135" s="117"/>
      <c r="Y135" s="45" t="b">
        <v>1</v>
      </c>
    </row>
    <row r="136" spans="2:25" s="45" customFormat="1">
      <c r="B136" s="117"/>
      <c r="C136" s="117"/>
      <c r="D136" s="117"/>
      <c r="E136" s="117"/>
      <c r="F136" s="117"/>
      <c r="G136" s="118"/>
      <c r="I136" s="54"/>
      <c r="J136" s="178" t="s">
        <v>24</v>
      </c>
      <c r="L136" s="54"/>
      <c r="O136" s="312"/>
      <c r="P136" s="190"/>
      <c r="Q136" s="117"/>
      <c r="R136" s="117"/>
      <c r="S136" s="117"/>
      <c r="T136" s="117"/>
      <c r="W136" s="117"/>
      <c r="X136" s="117"/>
    </row>
    <row r="137" spans="2:25" s="45" customFormat="1">
      <c r="B137" s="117"/>
      <c r="C137" s="117"/>
      <c r="D137" s="117"/>
      <c r="E137" s="117"/>
      <c r="F137" s="117"/>
      <c r="G137" s="118"/>
      <c r="I137" s="54"/>
      <c r="J137" s="45" t="s">
        <v>21</v>
      </c>
      <c r="L137" s="54"/>
      <c r="O137" s="312"/>
      <c r="P137" s="190"/>
      <c r="Q137" s="117"/>
      <c r="R137" s="117"/>
      <c r="S137" s="117"/>
      <c r="T137" s="117"/>
      <c r="W137" s="117"/>
      <c r="X137" s="117"/>
    </row>
    <row r="138" spans="2:25" s="45" customFormat="1">
      <c r="B138" s="117"/>
      <c r="C138" s="117"/>
      <c r="D138" s="117"/>
      <c r="E138" s="117"/>
      <c r="F138" s="117"/>
      <c r="G138" s="118"/>
      <c r="I138" s="54"/>
      <c r="J138" s="178" t="s">
        <v>23</v>
      </c>
      <c r="K138" s="45" t="str">
        <f>K133</f>
        <v>selected(data('q16501_4'),'1')</v>
      </c>
      <c r="L138" s="54"/>
      <c r="O138" s="312"/>
      <c r="P138" s="190"/>
      <c r="Q138" s="117"/>
      <c r="R138" s="117"/>
      <c r="S138" s="117"/>
      <c r="T138" s="117"/>
      <c r="W138" s="117"/>
      <c r="X138" s="117"/>
    </row>
    <row r="139" spans="2:25" s="45" customFormat="1">
      <c r="B139" s="117"/>
      <c r="C139" s="117"/>
      <c r="D139" s="117"/>
      <c r="E139" s="117"/>
      <c r="F139" s="117"/>
      <c r="G139" s="118"/>
      <c r="I139" s="54"/>
      <c r="J139" s="45" t="s">
        <v>20</v>
      </c>
      <c r="L139" s="54"/>
      <c r="O139" s="312"/>
      <c r="P139" s="190"/>
      <c r="Q139" s="117"/>
      <c r="R139" s="117"/>
      <c r="S139" s="117"/>
      <c r="T139" s="117"/>
      <c r="W139" s="117"/>
      <c r="X139" s="117"/>
    </row>
    <row r="140" spans="2:25" s="45" customFormat="1" ht="30">
      <c r="B140" s="117"/>
      <c r="C140" s="117"/>
      <c r="D140" s="117"/>
      <c r="E140" s="117"/>
      <c r="F140" s="117"/>
      <c r="G140" s="118"/>
      <c r="I140" s="54"/>
      <c r="L140" s="2" t="s">
        <v>413</v>
      </c>
      <c r="M140" s="174" t="str">
        <f>CONCATENATE("roster_line_",N135)</f>
        <v>roster_line_q16503_4</v>
      </c>
      <c r="N140" s="45" t="str">
        <f>CONCATENATE(N135, "_1")</f>
        <v>q16503_4_1</v>
      </c>
      <c r="O140" s="312"/>
      <c r="P140" s="190"/>
      <c r="Q140" s="117"/>
      <c r="R140" s="117"/>
      <c r="S140" s="117" t="str">
        <f>K133</f>
        <v>selected(data('q16501_4'),'1')</v>
      </c>
      <c r="T140" s="117"/>
      <c r="W140" s="117"/>
      <c r="X140" s="117"/>
      <c r="Y140" s="45" t="b">
        <v>1</v>
      </c>
    </row>
    <row r="141" spans="2:25" s="45" customFormat="1" ht="45">
      <c r="B141" s="117"/>
      <c r="C141" s="117"/>
      <c r="D141" s="117"/>
      <c r="E141" s="117"/>
      <c r="F141" s="117"/>
      <c r="G141" s="118"/>
      <c r="I141" s="54"/>
      <c r="L141" s="54" t="s">
        <v>174</v>
      </c>
      <c r="M141" s="45" t="s">
        <v>206</v>
      </c>
      <c r="N141" s="45" t="str">
        <f>CONCATENATE("q",$I$17, "_",$I$27)</f>
        <v>q16504_4</v>
      </c>
      <c r="O141" s="312" t="str">
        <f>CONCATENATE(SUBSTITUTE(N141, "q",""), ". ", SUBSTITUTE($E$17, "[item]",$E$27))</f>
        <v>16504_4. من من أفراد الأسرة عمل أكثر على سمك؟</v>
      </c>
      <c r="P141" s="190" t="str">
        <f>CONCATENATE(N141, ". ", SUBSTITUTE($B$17, "[item]",$B$27))</f>
        <v>q16504_4. Who from the household worked the most on Fish  ?</v>
      </c>
      <c r="Q141" s="117"/>
      <c r="R141" s="117"/>
      <c r="S141" s="117" t="str">
        <f>K133</f>
        <v>selected(data('q16501_4'),'1')</v>
      </c>
      <c r="T141" s="117"/>
      <c r="W141" s="31"/>
      <c r="X141" s="31"/>
      <c r="Y141" s="45" t="b">
        <v>1</v>
      </c>
    </row>
    <row r="142" spans="2:25" s="45" customFormat="1">
      <c r="B142" s="117"/>
      <c r="C142" s="117"/>
      <c r="D142" s="117"/>
      <c r="E142" s="117"/>
      <c r="F142" s="117"/>
      <c r="G142" s="118"/>
      <c r="I142" s="54"/>
      <c r="J142" s="45" t="s">
        <v>21</v>
      </c>
      <c r="L142" s="54"/>
      <c r="O142" s="312"/>
      <c r="P142" s="190"/>
      <c r="Q142" s="117"/>
      <c r="R142" s="117"/>
      <c r="S142" s="117"/>
      <c r="T142" s="117"/>
      <c r="W142" s="117"/>
      <c r="X142" s="117"/>
    </row>
    <row r="143" spans="2:25" s="45" customFormat="1">
      <c r="B143" s="117"/>
      <c r="C143" s="117"/>
      <c r="D143" s="117"/>
      <c r="E143" s="117"/>
      <c r="F143" s="117"/>
      <c r="G143" s="118"/>
      <c r="I143" s="54"/>
      <c r="J143" s="45" t="s">
        <v>20</v>
      </c>
      <c r="L143" s="54"/>
      <c r="O143" s="312"/>
      <c r="P143" s="190"/>
      <c r="Q143" s="117"/>
      <c r="R143" s="117"/>
      <c r="S143" s="117"/>
      <c r="T143" s="117"/>
      <c r="W143" s="117"/>
      <c r="X143" s="117"/>
    </row>
    <row r="144" spans="2:25" s="45" customFormat="1" ht="30">
      <c r="B144" s="117"/>
      <c r="C144" s="117"/>
      <c r="D144" s="117"/>
      <c r="E144" s="117"/>
      <c r="F144" s="117"/>
      <c r="G144" s="118"/>
      <c r="I144" s="54"/>
      <c r="L144" s="2" t="s">
        <v>413</v>
      </c>
      <c r="M144" s="174" t="str">
        <f>CONCATENATE("roster_line_",N141)</f>
        <v>roster_line_q16504_4</v>
      </c>
      <c r="N144" s="45" t="str">
        <f>CONCATENATE(N141, "_1")</f>
        <v>q16504_4_1</v>
      </c>
      <c r="O144" s="312"/>
      <c r="P144" s="190"/>
      <c r="Q144" s="117"/>
      <c r="R144" s="117"/>
      <c r="S144" s="117" t="str">
        <f>K133</f>
        <v>selected(data('q16501_4'),'1')</v>
      </c>
      <c r="T144" s="117"/>
      <c r="V144" s="31"/>
      <c r="W144" s="117"/>
      <c r="X144" s="117"/>
      <c r="Y144" s="45" t="b">
        <v>1</v>
      </c>
    </row>
    <row r="145" spans="2:25" s="45" customFormat="1" ht="45">
      <c r="B145" s="117"/>
      <c r="C145" s="117"/>
      <c r="D145" s="117"/>
      <c r="E145" s="117"/>
      <c r="F145" s="117"/>
      <c r="G145" s="118"/>
      <c r="I145" s="54"/>
      <c r="L145" s="54" t="s">
        <v>18</v>
      </c>
      <c r="M145" s="45" t="s">
        <v>17</v>
      </c>
      <c r="N145" s="45" t="str">
        <f>CONCATENATE("q",$I$18, "_",$I$27)</f>
        <v>q16505_4</v>
      </c>
      <c r="O145" s="312" t="str">
        <f>CONCATENATE(SUBSTITUTE(N145, "q",""), ". ", SUBSTITUTE($E$18, "[item]",$E$27))</f>
        <v xml:space="preserve">16505_4. هل عمل أي شخص آخر من الأسرة على سمك؟
</v>
      </c>
      <c r="P145" s="190" t="str">
        <f>CONCATENATE(N145, ". ", SUBSTITUTE($B$18, "[item]",$B$27))</f>
        <v>q16505_4. Did anyone else from the household work on Fish  ?</v>
      </c>
      <c r="Q145" s="117"/>
      <c r="R145" s="117"/>
      <c r="S145" s="117" t="str">
        <f>K133</f>
        <v>selected(data('q16501_4'),'1')</v>
      </c>
      <c r="T145" s="117"/>
      <c r="W145" s="117"/>
      <c r="X145" s="117"/>
      <c r="Y145" s="45" t="b">
        <v>1</v>
      </c>
    </row>
    <row r="146" spans="2:25">
      <c r="C146" s="407"/>
      <c r="D146" s="212"/>
      <c r="F146" s="407"/>
      <c r="I146" s="184"/>
      <c r="J146" s="405" t="s">
        <v>21</v>
      </c>
      <c r="L146" s="19"/>
      <c r="O146" s="30"/>
      <c r="P146" s="30"/>
      <c r="Q146" s="116"/>
      <c r="Y146" s="19"/>
    </row>
    <row r="147" spans="2:25">
      <c r="C147" s="407"/>
      <c r="D147" s="212"/>
      <c r="F147" s="407"/>
      <c r="I147" s="184"/>
      <c r="J147" s="178" t="s">
        <v>24</v>
      </c>
      <c r="L147" s="19"/>
      <c r="O147" s="30"/>
      <c r="P147" s="30"/>
      <c r="Q147" s="116"/>
      <c r="Y147" s="19"/>
    </row>
    <row r="148" spans="2:25">
      <c r="C148" s="407"/>
      <c r="D148" s="212"/>
      <c r="F148" s="407"/>
      <c r="I148" s="184"/>
      <c r="J148" s="88" t="s">
        <v>23</v>
      </c>
      <c r="K148" s="64" t="str">
        <f>CONCATENATE("selected(data('",N145,"'),'1') &amp;&amp; ",K133)</f>
        <v>selected(data('q16505_4'),'1') &amp;&amp; selected(data('q16501_4'),'1')</v>
      </c>
      <c r="L148" s="19"/>
      <c r="O148" s="30"/>
      <c r="P148" s="30"/>
      <c r="Q148" s="116"/>
      <c r="Y148" s="19"/>
    </row>
    <row r="149" spans="2:25" s="45" customFormat="1" ht="45">
      <c r="B149" s="117"/>
      <c r="C149" s="117"/>
      <c r="D149" s="117"/>
      <c r="E149" s="117"/>
      <c r="F149" s="117"/>
      <c r="G149" s="118"/>
      <c r="I149" s="54"/>
      <c r="L149" s="54" t="s">
        <v>174</v>
      </c>
      <c r="M149" s="45" t="s">
        <v>206</v>
      </c>
      <c r="N149" s="45" t="str">
        <f>CONCATENATE("q",$I$19, "_",$I$27)</f>
        <v>q16506_4</v>
      </c>
      <c r="O149" s="312" t="str">
        <f>CONCATENATE(SUBSTITUTE(N149, "q",""), ". ", SUBSTITUTE($E$19, "[item]",$E$27))</f>
        <v>16506_4. من ثانى فرد من أفراد الأسرة عمل أكثر على سمك؟</v>
      </c>
      <c r="P149" s="190" t="str">
        <f>CONCATENATE(N149, ". ", SUBSTITUTE($B$19, "[item]",$B$27))</f>
        <v>q16506_4. Who from the household worked second most on Fish ?</v>
      </c>
      <c r="Q149" s="117"/>
      <c r="R149" s="117"/>
      <c r="S149" s="117" t="str">
        <f>K148</f>
        <v>selected(data('q16505_4'),'1') &amp;&amp; selected(data('q16501_4'),'1')</v>
      </c>
      <c r="T149" s="117"/>
      <c r="Y149" s="45" t="b">
        <v>1</v>
      </c>
    </row>
    <row r="150" spans="2:25" s="45" customFormat="1">
      <c r="B150" s="117"/>
      <c r="C150" s="117"/>
      <c r="D150" s="117"/>
      <c r="E150" s="117"/>
      <c r="F150" s="117"/>
      <c r="G150" s="118"/>
      <c r="I150" s="54"/>
      <c r="J150" s="45" t="s">
        <v>20</v>
      </c>
      <c r="L150" s="54"/>
      <c r="O150" s="312"/>
      <c r="P150" s="190"/>
      <c r="Q150" s="117"/>
      <c r="R150" s="117"/>
      <c r="S150" s="117"/>
      <c r="T150" s="117"/>
    </row>
    <row r="151" spans="2:25" s="45" customFormat="1" ht="60">
      <c r="B151" s="117"/>
      <c r="C151" s="117"/>
      <c r="D151" s="117"/>
      <c r="E151" s="117"/>
      <c r="F151" s="117"/>
      <c r="G151" s="118"/>
      <c r="I151" s="54"/>
      <c r="L151" s="2" t="s">
        <v>413</v>
      </c>
      <c r="M151" s="174" t="str">
        <f>CONCATENATE("roster_line_",N149)</f>
        <v>roster_line_q16506_4</v>
      </c>
      <c r="N151" s="45" t="str">
        <f>CONCATENATE(N149, "_1")</f>
        <v>q16506_4_1</v>
      </c>
      <c r="O151" s="312"/>
      <c r="P151" s="190"/>
      <c r="Q151" s="117"/>
      <c r="R151" s="117"/>
      <c r="S151" s="117" t="str">
        <f>K148</f>
        <v>selected(data('q16505_4'),'1') &amp;&amp; selected(data('q16501_4'),'1')</v>
      </c>
      <c r="T151" s="117"/>
      <c r="V151" s="31" t="str">
        <f>CONCATENATE("(data('",N141,"') != data('",N149,"')) || selected(data('",N145,"'), '2') || selected(data('",N132,"'), '2')  || data('valid_overall') == 0")</f>
        <v>(data('q16504_4') != data('q16506_4')) || selected(data('q16505_4'), '2') || selected(data('q16501_4'), '2')  || data('valid_overall') == 0</v>
      </c>
      <c r="W151" s="31" t="s">
        <v>1033</v>
      </c>
      <c r="X151" s="31" t="s">
        <v>555</v>
      </c>
      <c r="Y151" s="45" t="b">
        <v>1</v>
      </c>
    </row>
    <row r="152" spans="2:25" s="45" customFormat="1" ht="45">
      <c r="B152" s="117"/>
      <c r="C152" s="117"/>
      <c r="D152" s="117"/>
      <c r="E152" s="117"/>
      <c r="F152" s="117"/>
      <c r="G152" s="118"/>
      <c r="I152" s="54"/>
      <c r="L152" s="54" t="s">
        <v>18</v>
      </c>
      <c r="M152" s="45" t="s">
        <v>17</v>
      </c>
      <c r="N152" s="45" t="str">
        <f>CONCATENATE("q",$I$20, "_",$I$27)</f>
        <v>q16507_4</v>
      </c>
      <c r="O152" s="312" t="str">
        <f>CONCATENATE(SUBSTITUTE(N152, "q",""), ". ", SUBSTITUTE($E$20, "[item]",$E$27))</f>
        <v xml:space="preserve">16507_4. هل عمل أي شخص آخر من الأسرة على سمك؟
</v>
      </c>
      <c r="P152" s="190" t="str">
        <f>CONCATENATE(N152, ". ", SUBSTITUTE($B$20, "[item]",$B$27))</f>
        <v>q16507_4. Did anyone else from the household work on on Fish  ?</v>
      </c>
      <c r="Q152" s="117"/>
      <c r="R152" s="117"/>
      <c r="S152" s="117" t="str">
        <f>K148</f>
        <v>selected(data('q16505_4'),'1') &amp;&amp; selected(data('q16501_4'),'1')</v>
      </c>
      <c r="T152" s="117"/>
      <c r="W152" s="117"/>
      <c r="X152" s="117"/>
      <c r="Y152" s="45" t="b">
        <v>1</v>
      </c>
    </row>
    <row r="153" spans="2:25">
      <c r="C153" s="407"/>
      <c r="D153" s="212"/>
      <c r="F153" s="407"/>
      <c r="I153" s="184"/>
      <c r="J153" s="405" t="s">
        <v>21</v>
      </c>
      <c r="L153" s="19"/>
      <c r="O153" s="30"/>
      <c r="P153" s="30"/>
      <c r="Q153" s="116"/>
      <c r="V153" s="45"/>
      <c r="W153" s="45"/>
      <c r="X153" s="45"/>
      <c r="Y153" s="19"/>
    </row>
    <row r="154" spans="2:25">
      <c r="C154" s="407"/>
      <c r="D154" s="212"/>
      <c r="F154" s="407"/>
      <c r="I154" s="184"/>
      <c r="J154" s="88" t="s">
        <v>24</v>
      </c>
      <c r="L154" s="19"/>
      <c r="O154" s="30"/>
      <c r="P154" s="30"/>
      <c r="Q154" s="116"/>
      <c r="V154" s="45"/>
      <c r="W154" s="117"/>
      <c r="X154" s="117"/>
      <c r="Y154" s="19"/>
    </row>
    <row r="155" spans="2:25">
      <c r="C155" s="407"/>
      <c r="D155" s="212"/>
      <c r="F155" s="407"/>
      <c r="I155" s="184"/>
      <c r="J155" s="88" t="s">
        <v>23</v>
      </c>
      <c r="K155" s="64" t="str">
        <f>CONCATENATE("selected(data('",N152,"'),'1') &amp;&amp; ",K148)</f>
        <v>selected(data('q16507_4'),'1') &amp;&amp; selected(data('q16505_4'),'1') &amp;&amp; selected(data('q16501_4'),'1')</v>
      </c>
      <c r="L155" s="19"/>
      <c r="O155" s="30"/>
      <c r="P155" s="30"/>
      <c r="Q155" s="116"/>
      <c r="Y155" s="19"/>
    </row>
    <row r="156" spans="2:25" s="45" customFormat="1" ht="45">
      <c r="B156" s="117"/>
      <c r="C156" s="117"/>
      <c r="D156" s="117"/>
      <c r="E156" s="117"/>
      <c r="F156" s="117"/>
      <c r="G156" s="118"/>
      <c r="I156" s="54"/>
      <c r="L156" s="54" t="s">
        <v>174</v>
      </c>
      <c r="M156" s="45" t="s">
        <v>206</v>
      </c>
      <c r="N156" s="45" t="str">
        <f>CONCATENATE("q",$I$21, "_",$I$27)</f>
        <v>q16508_4</v>
      </c>
      <c r="O156" s="312" t="str">
        <f>CONCATENATE(SUBSTITUTE(N156, "q",""), ". ", SUBSTITUTE($E$21, "[item]",$E$27))</f>
        <v>16508_4. من ثالث فرد من أفراد الأسرة عمل أكثر على سمك؟</v>
      </c>
      <c r="P156" s="190" t="str">
        <f>CONCATENATE(N156, ". ", SUBSTITUTE($B$21, "[item]",$B$27))</f>
        <v>q16508_4. Who from the household work on third most on Fish  ?</v>
      </c>
      <c r="Q156" s="117"/>
      <c r="R156" s="117"/>
      <c r="S156" s="117" t="str">
        <f>K155</f>
        <v>selected(data('q16507_4'),'1') &amp;&amp; selected(data('q16505_4'),'1') &amp;&amp; selected(data('q16501_4'),'1')</v>
      </c>
      <c r="T156" s="117"/>
      <c r="V156" s="64"/>
      <c r="W156" s="64"/>
      <c r="X156" s="64"/>
      <c r="Y156" s="45" t="b">
        <v>1</v>
      </c>
    </row>
    <row r="157" spans="2:25" s="45" customFormat="1">
      <c r="B157" s="117"/>
      <c r="C157" s="117"/>
      <c r="D157" s="117"/>
      <c r="E157" s="117"/>
      <c r="F157" s="117"/>
      <c r="G157" s="118"/>
      <c r="I157" s="54"/>
      <c r="J157" s="88" t="s">
        <v>24</v>
      </c>
      <c r="L157" s="54"/>
      <c r="O157" s="312"/>
      <c r="P157" s="190"/>
      <c r="Q157" s="117"/>
      <c r="R157" s="117"/>
      <c r="S157" s="117"/>
      <c r="T157" s="117"/>
      <c r="V157" s="64"/>
      <c r="W157" s="64"/>
      <c r="X157" s="64"/>
    </row>
    <row r="158" spans="2:25" s="45" customFormat="1">
      <c r="B158" s="117"/>
      <c r="C158" s="117"/>
      <c r="D158" s="117"/>
      <c r="E158" s="117"/>
      <c r="F158" s="117"/>
      <c r="G158" s="118"/>
      <c r="I158" s="54"/>
      <c r="J158" s="45" t="s">
        <v>20</v>
      </c>
      <c r="L158" s="54"/>
      <c r="O158" s="312"/>
      <c r="P158" s="190"/>
      <c r="Q158" s="117"/>
      <c r="R158" s="117"/>
      <c r="S158" s="117"/>
      <c r="T158" s="117"/>
    </row>
    <row r="159" spans="2:25" s="45" customFormat="1">
      <c r="B159" s="117"/>
      <c r="C159" s="117"/>
      <c r="D159" s="117"/>
      <c r="E159" s="117"/>
      <c r="F159" s="117"/>
      <c r="G159" s="118"/>
      <c r="I159" s="54"/>
      <c r="J159" s="88" t="s">
        <v>23</v>
      </c>
      <c r="K159" s="45" t="str">
        <f>K155</f>
        <v>selected(data('q16507_4'),'1') &amp;&amp; selected(data('q16505_4'),'1') &amp;&amp; selected(data('q16501_4'),'1')</v>
      </c>
      <c r="L159" s="54"/>
      <c r="O159" s="312"/>
      <c r="P159" s="190"/>
      <c r="Q159" s="117"/>
      <c r="R159" s="117"/>
      <c r="S159" s="117"/>
      <c r="T159" s="117"/>
      <c r="W159" s="117"/>
      <c r="X159" s="117"/>
    </row>
    <row r="160" spans="2:25" s="45" customFormat="1" ht="105">
      <c r="B160" s="117"/>
      <c r="C160" s="117"/>
      <c r="D160" s="117"/>
      <c r="E160" s="117"/>
      <c r="F160" s="117"/>
      <c r="G160" s="118"/>
      <c r="I160" s="54"/>
      <c r="L160" s="2" t="s">
        <v>413</v>
      </c>
      <c r="M160" s="174" t="str">
        <f>CONCATENATE("roster_line_",N156)</f>
        <v>roster_line_q16508_4</v>
      </c>
      <c r="N160" s="45" t="str">
        <f>CONCATENATE(N156, "_1")</f>
        <v>q16508_4_1</v>
      </c>
      <c r="O160" s="312"/>
      <c r="P160" s="190"/>
      <c r="Q160" s="117"/>
      <c r="R160" s="117"/>
      <c r="S160" s="117" t="str">
        <f>K155</f>
        <v>selected(data('q16507_4'),'1') &amp;&amp; selected(data('q16505_4'),'1') &amp;&amp; selected(data('q16501_4'),'1')</v>
      </c>
      <c r="T160" s="117"/>
      <c r="V160" s="31" t="str">
        <f>CONCATENATE("(data('",N141,"') != data('",N149,"') &amp;&amp; data('",N141,"') != data('",N156,"') &amp;&amp; data('",N156,"') != data('",N149,"') ) || selected(data('",N132,"'), '2') || selected(data('",N145,"'), '2') || selected(data('",N152,"'), '2') || data('valid_overall') == 0")</f>
        <v>(data('q16504_4') != data('q16506_4') &amp;&amp; data('q16504_4') != data('q16508_4') &amp;&amp; data('q16508_4') != data('q16506_4') ) || selected(data('q16501_4'), '2') || selected(data('q16505_4'), '2') || selected(data('q16507_4'), '2') || data('valid_overall') == 0</v>
      </c>
      <c r="W160" s="31" t="s">
        <v>1033</v>
      </c>
      <c r="X160" s="31" t="s">
        <v>555</v>
      </c>
      <c r="Y160" s="45" t="b">
        <v>1</v>
      </c>
    </row>
    <row r="161" spans="2:25" s="45" customFormat="1">
      <c r="B161" s="117"/>
      <c r="C161" s="117"/>
      <c r="D161" s="117"/>
      <c r="E161" s="117"/>
      <c r="F161" s="117"/>
      <c r="G161" s="118"/>
      <c r="I161" s="54"/>
      <c r="L161" s="54"/>
      <c r="O161" s="312"/>
      <c r="P161" s="190"/>
      <c r="Q161" s="117"/>
      <c r="R161" s="117"/>
      <c r="S161" s="117"/>
      <c r="T161" s="117"/>
      <c r="V161" s="31"/>
      <c r="W161" s="117"/>
      <c r="X161" s="117"/>
    </row>
    <row r="162" spans="2:25" s="435" customFormat="1">
      <c r="B162" s="436"/>
      <c r="C162" s="436"/>
      <c r="D162" s="437"/>
      <c r="E162" s="438"/>
      <c r="F162" s="438"/>
      <c r="H162" s="439"/>
      <c r="I162" s="440"/>
      <c r="K162" s="436"/>
      <c r="L162" s="440"/>
      <c r="M162" s="441"/>
      <c r="N162" s="440"/>
      <c r="O162" s="438"/>
      <c r="P162" s="436"/>
      <c r="Q162" s="440"/>
      <c r="R162" s="440"/>
      <c r="S162" s="440"/>
      <c r="T162" s="440"/>
      <c r="U162" s="440"/>
      <c r="V162" s="440"/>
      <c r="W162" s="442"/>
      <c r="X162" s="436"/>
    </row>
    <row r="163" spans="2:25" s="45" customFormat="1">
      <c r="B163" s="117"/>
      <c r="C163" s="117"/>
      <c r="D163" s="117"/>
      <c r="E163" s="117"/>
      <c r="F163" s="117"/>
      <c r="G163" s="118"/>
      <c r="I163" s="54"/>
      <c r="J163" s="178" t="s">
        <v>24</v>
      </c>
      <c r="L163" s="54"/>
      <c r="O163" s="312"/>
      <c r="P163" s="190"/>
      <c r="Q163" s="117"/>
      <c r="R163" s="117"/>
      <c r="S163" s="117"/>
      <c r="T163" s="117"/>
      <c r="W163" s="117"/>
      <c r="X163" s="117"/>
    </row>
    <row r="164" spans="2:25" s="45" customFormat="1" ht="45">
      <c r="B164" s="117"/>
      <c r="C164" s="117"/>
      <c r="D164" s="117"/>
      <c r="E164" s="117"/>
      <c r="F164" s="117"/>
      <c r="G164" s="118"/>
      <c r="I164" s="54"/>
      <c r="L164" s="54" t="s">
        <v>18</v>
      </c>
      <c r="M164" s="45" t="s">
        <v>17</v>
      </c>
      <c r="N164" s="45" t="str">
        <f>CONCATENATE("q",$I$14, "_",$I$28)</f>
        <v>q16501_5</v>
      </c>
      <c r="O164" s="312" t="str">
        <f>CONCATENATE(SUBSTITUTE(N164, "q",""), ". ", SUBSTITUTE($E$14, "[item]",$E$28))</f>
        <v>16501_5. هل كان للأسرة أي مبيعات من العسل  خلال الـ12 شهر؟</v>
      </c>
      <c r="P164" s="190" t="str">
        <f>CONCATENATE(N164, ". ", SUBSTITUTE($B$14, "[item]",$B$28))</f>
        <v>q16501_5. Did you have any sales of Honey  in the past 12 months?</v>
      </c>
      <c r="Q164" s="117"/>
      <c r="R164" s="117"/>
      <c r="S164" s="117" t="s">
        <v>587</v>
      </c>
      <c r="T164" s="117"/>
      <c r="W164" s="117"/>
      <c r="X164" s="117"/>
    </row>
    <row r="165" spans="2:25">
      <c r="C165" s="407"/>
      <c r="D165" s="212"/>
      <c r="F165" s="407"/>
      <c r="I165" s="184"/>
      <c r="J165" s="88" t="s">
        <v>23</v>
      </c>
      <c r="K165" s="64" t="str">
        <f>CONCATENATE("selected(data('",N164,"'),'1')")</f>
        <v>selected(data('q16501_5'),'1')</v>
      </c>
      <c r="L165" s="19"/>
      <c r="O165" s="30"/>
      <c r="P165" s="30"/>
      <c r="Q165" s="116"/>
      <c r="Y165" s="19"/>
    </row>
    <row r="166" spans="2:25" s="45" customFormat="1" ht="45">
      <c r="B166" s="117"/>
      <c r="C166" s="117"/>
      <c r="D166" s="117"/>
      <c r="E166" s="117"/>
      <c r="F166" s="117"/>
      <c r="G166" s="118"/>
      <c r="I166" s="54"/>
      <c r="L166" s="54" t="s">
        <v>19</v>
      </c>
      <c r="N166" s="45" t="str">
        <f>CONCATENATE("q",$I$15, "_",$I$28)</f>
        <v>q16502_5</v>
      </c>
      <c r="O166" s="312" t="str">
        <f>CONCATENATE(SUBSTITUTE(N166, "q",""), ". ", SUBSTITUTE($E$15, "[item]",$E$28))</f>
        <v>16502_5. كم كانت قيمة تلك المبيعات من العسل  (بالجنيه)؟</v>
      </c>
      <c r="P166" s="190" t="str">
        <f>CONCATENATE(N166, ". ", SUBSTITUTE($B$15, "[item]",$B$28))</f>
        <v>q16502_5. What was the value of these sales? (in pounds)</v>
      </c>
      <c r="Q166" s="466" t="s">
        <v>1515</v>
      </c>
      <c r="R166" s="117" t="s">
        <v>1421</v>
      </c>
      <c r="S166" s="117" t="str">
        <f>K165</f>
        <v>selected(data('q16501_5'),'1')</v>
      </c>
      <c r="T166" s="117"/>
      <c r="W166" s="117"/>
      <c r="X166" s="117"/>
      <c r="Y166" s="45" t="b">
        <v>1</v>
      </c>
    </row>
    <row r="167" spans="2:25" s="45" customFormat="1" ht="45">
      <c r="B167" s="117"/>
      <c r="C167" s="117"/>
      <c r="D167" s="117"/>
      <c r="E167" s="117"/>
      <c r="F167" s="117"/>
      <c r="G167" s="118"/>
      <c r="I167" s="54"/>
      <c r="L167" s="54" t="s">
        <v>174</v>
      </c>
      <c r="M167" s="45" t="s">
        <v>206</v>
      </c>
      <c r="N167" s="45" t="str">
        <f>CONCATENATE("q",$I$16, "_",$I$28)</f>
        <v>q16503_5</v>
      </c>
      <c r="O167" s="312" t="str">
        <f>CONCATENATE(SUBSTITUTE(N167, "q",""), ". ", SUBSTITUTE($E$16, "[item]",$E$28))</f>
        <v>16503_5. من من أفراد الأسرة هو أكثر من اتخذ القرارات فيما يخص العسل ؟</v>
      </c>
      <c r="P167" s="190" t="str">
        <f>CONCATENATE(N167, ". ", SUBSTITUTE($B$16, "[item]",$B$28))</f>
        <v>q16503_5. Who from the household decided most on  Honey ?</v>
      </c>
      <c r="Q167" s="117"/>
      <c r="R167" s="117"/>
      <c r="S167" s="117" t="str">
        <f>K165</f>
        <v>selected(data('q16501_5'),'1')</v>
      </c>
      <c r="T167" s="117"/>
      <c r="W167" s="117"/>
      <c r="X167" s="117"/>
      <c r="Y167" s="45" t="b">
        <v>1</v>
      </c>
    </row>
    <row r="168" spans="2:25" s="45" customFormat="1">
      <c r="B168" s="117"/>
      <c r="C168" s="117"/>
      <c r="D168" s="117"/>
      <c r="E168" s="117"/>
      <c r="F168" s="117"/>
      <c r="G168" s="118"/>
      <c r="I168" s="54"/>
      <c r="J168" s="178" t="s">
        <v>24</v>
      </c>
      <c r="L168" s="54"/>
      <c r="O168" s="312"/>
      <c r="P168" s="190"/>
      <c r="Q168" s="117"/>
      <c r="R168" s="117"/>
      <c r="S168" s="117"/>
      <c r="T168" s="117"/>
      <c r="W168" s="117"/>
      <c r="X168" s="117"/>
    </row>
    <row r="169" spans="2:25" s="45" customFormat="1">
      <c r="B169" s="117"/>
      <c r="C169" s="117"/>
      <c r="D169" s="117"/>
      <c r="E169" s="117"/>
      <c r="F169" s="117"/>
      <c r="G169" s="118"/>
      <c r="I169" s="54"/>
      <c r="J169" s="45" t="s">
        <v>21</v>
      </c>
      <c r="L169" s="54"/>
      <c r="O169" s="312"/>
      <c r="P169" s="190"/>
      <c r="Q169" s="117"/>
      <c r="R169" s="117"/>
      <c r="S169" s="117"/>
      <c r="T169" s="117"/>
      <c r="W169" s="117"/>
      <c r="X169" s="117"/>
    </row>
    <row r="170" spans="2:25" s="45" customFormat="1">
      <c r="B170" s="117"/>
      <c r="C170" s="117"/>
      <c r="D170" s="117"/>
      <c r="E170" s="117"/>
      <c r="F170" s="117"/>
      <c r="G170" s="118"/>
      <c r="I170" s="54"/>
      <c r="J170" s="178" t="s">
        <v>23</v>
      </c>
      <c r="K170" s="45" t="str">
        <f>K165</f>
        <v>selected(data('q16501_5'),'1')</v>
      </c>
      <c r="L170" s="54"/>
      <c r="O170" s="312"/>
      <c r="P170" s="190"/>
      <c r="Q170" s="117"/>
      <c r="R170" s="117"/>
      <c r="S170" s="117"/>
      <c r="T170" s="117"/>
      <c r="W170" s="117"/>
      <c r="X170" s="117"/>
    </row>
    <row r="171" spans="2:25" s="45" customFormat="1">
      <c r="B171" s="117"/>
      <c r="C171" s="117"/>
      <c r="D171" s="117"/>
      <c r="E171" s="117"/>
      <c r="F171" s="117"/>
      <c r="G171" s="118"/>
      <c r="I171" s="54"/>
      <c r="J171" s="45" t="s">
        <v>20</v>
      </c>
      <c r="L171" s="54"/>
      <c r="O171" s="312"/>
      <c r="P171" s="190"/>
      <c r="Q171" s="117"/>
      <c r="R171" s="117"/>
      <c r="S171" s="117"/>
      <c r="T171" s="117"/>
      <c r="W171" s="117"/>
      <c r="X171" s="117"/>
    </row>
    <row r="172" spans="2:25" s="45" customFormat="1" ht="30">
      <c r="B172" s="117"/>
      <c r="C172" s="117"/>
      <c r="D172" s="117"/>
      <c r="E172" s="117"/>
      <c r="F172" s="117"/>
      <c r="G172" s="118"/>
      <c r="I172" s="54"/>
      <c r="L172" s="2" t="s">
        <v>413</v>
      </c>
      <c r="M172" s="174" t="str">
        <f>CONCATENATE("roster_line_",N167)</f>
        <v>roster_line_q16503_5</v>
      </c>
      <c r="N172" s="45" t="str">
        <f>CONCATENATE(N167, "_1")</f>
        <v>q16503_5_1</v>
      </c>
      <c r="O172" s="312"/>
      <c r="P172" s="190"/>
      <c r="Q172" s="117"/>
      <c r="R172" s="117"/>
      <c r="S172" s="117" t="str">
        <f>K165</f>
        <v>selected(data('q16501_5'),'1')</v>
      </c>
      <c r="T172" s="117"/>
      <c r="W172" s="117"/>
      <c r="X172" s="117"/>
      <c r="Y172" s="45" t="b">
        <v>1</v>
      </c>
    </row>
    <row r="173" spans="2:25" s="45" customFormat="1" ht="45">
      <c r="B173" s="117"/>
      <c r="C173" s="117"/>
      <c r="D173" s="117"/>
      <c r="E173" s="117"/>
      <c r="F173" s="117"/>
      <c r="G173" s="118"/>
      <c r="I173" s="54"/>
      <c r="L173" s="54" t="s">
        <v>174</v>
      </c>
      <c r="M173" s="45" t="s">
        <v>206</v>
      </c>
      <c r="N173" s="45" t="str">
        <f>CONCATENATE("q",$I$17, "_",$I$28)</f>
        <v>q16504_5</v>
      </c>
      <c r="O173" s="312" t="str">
        <f>CONCATENATE(SUBSTITUTE(N173, "q",""), ". ", SUBSTITUTE($E$17, "[item]",$E$28))</f>
        <v>16504_5. من من أفراد الأسرة عمل أكثر على العسل ؟</v>
      </c>
      <c r="P173" s="190" t="str">
        <f>CONCATENATE(N173, ". ", SUBSTITUTE($B$17, "[item]",$B$28))</f>
        <v>q16504_5. Who from the household worked the most on Honey  ?</v>
      </c>
      <c r="Q173" s="117"/>
      <c r="R173" s="117"/>
      <c r="S173" s="117" t="str">
        <f>K165</f>
        <v>selected(data('q16501_5'),'1')</v>
      </c>
      <c r="T173" s="117"/>
      <c r="W173" s="31"/>
      <c r="X173" s="31"/>
      <c r="Y173" s="45" t="b">
        <v>1</v>
      </c>
    </row>
    <row r="174" spans="2:25" s="45" customFormat="1">
      <c r="B174" s="117"/>
      <c r="C174" s="117"/>
      <c r="D174" s="117"/>
      <c r="E174" s="117"/>
      <c r="F174" s="117"/>
      <c r="G174" s="118"/>
      <c r="I174" s="54"/>
      <c r="J174" s="45" t="s">
        <v>21</v>
      </c>
      <c r="L174" s="54"/>
      <c r="O174" s="312"/>
      <c r="P174" s="190"/>
      <c r="Q174" s="117"/>
      <c r="R174" s="117"/>
      <c r="S174" s="117"/>
      <c r="T174" s="117"/>
      <c r="W174" s="117"/>
      <c r="X174" s="117"/>
    </row>
    <row r="175" spans="2:25" s="45" customFormat="1">
      <c r="B175" s="117"/>
      <c r="C175" s="117"/>
      <c r="D175" s="117"/>
      <c r="E175" s="117"/>
      <c r="F175" s="117"/>
      <c r="G175" s="118"/>
      <c r="I175" s="54"/>
      <c r="J175" s="45" t="s">
        <v>20</v>
      </c>
      <c r="L175" s="54"/>
      <c r="O175" s="312"/>
      <c r="P175" s="190"/>
      <c r="Q175" s="117"/>
      <c r="R175" s="117"/>
      <c r="S175" s="117"/>
      <c r="T175" s="117"/>
      <c r="W175" s="117"/>
      <c r="X175" s="117"/>
    </row>
    <row r="176" spans="2:25" s="45" customFormat="1" ht="30">
      <c r="B176" s="117"/>
      <c r="C176" s="117"/>
      <c r="D176" s="117"/>
      <c r="E176" s="117"/>
      <c r="F176" s="117"/>
      <c r="G176" s="118"/>
      <c r="I176" s="54"/>
      <c r="L176" s="2" t="s">
        <v>413</v>
      </c>
      <c r="M176" s="174" t="str">
        <f>CONCATENATE("roster_line_",N173)</f>
        <v>roster_line_q16504_5</v>
      </c>
      <c r="N176" s="45" t="str">
        <f>CONCATENATE(N173, "_1")</f>
        <v>q16504_5_1</v>
      </c>
      <c r="O176" s="312"/>
      <c r="P176" s="190"/>
      <c r="Q176" s="117"/>
      <c r="R176" s="117"/>
      <c r="S176" s="117" t="str">
        <f>K165</f>
        <v>selected(data('q16501_5'),'1')</v>
      </c>
      <c r="T176" s="117"/>
      <c r="V176" s="31"/>
      <c r="W176" s="117"/>
      <c r="X176" s="117"/>
      <c r="Y176" s="45" t="b">
        <v>1</v>
      </c>
    </row>
    <row r="177" spans="2:25" s="45" customFormat="1" ht="45">
      <c r="B177" s="117"/>
      <c r="C177" s="117"/>
      <c r="D177" s="117"/>
      <c r="E177" s="117"/>
      <c r="F177" s="117"/>
      <c r="G177" s="118"/>
      <c r="I177" s="54"/>
      <c r="L177" s="54" t="s">
        <v>18</v>
      </c>
      <c r="M177" s="45" t="s">
        <v>17</v>
      </c>
      <c r="N177" s="45" t="str">
        <f>CONCATENATE("q",$I$18, "_",$I$28)</f>
        <v>q16505_5</v>
      </c>
      <c r="O177" s="312" t="str">
        <f>CONCATENATE(SUBSTITUTE(N177, "q",""), ". ", SUBSTITUTE($E$18, "[item]",$E$28))</f>
        <v xml:space="preserve">16505_5. هل عمل أي شخص آخر من الأسرة على العسل ؟
</v>
      </c>
      <c r="P177" s="190" t="str">
        <f>CONCATENATE(N177, ". ", SUBSTITUTE($B$18, "[item]",$B$28))</f>
        <v>q16505_5. Did anyone else from the household work on Honey  ?</v>
      </c>
      <c r="Q177" s="117"/>
      <c r="R177" s="117"/>
      <c r="S177" s="117" t="str">
        <f>K165</f>
        <v>selected(data('q16501_5'),'1')</v>
      </c>
      <c r="T177" s="117"/>
      <c r="W177" s="117"/>
      <c r="X177" s="117"/>
      <c r="Y177" s="45" t="b">
        <v>1</v>
      </c>
    </row>
    <row r="178" spans="2:25">
      <c r="C178" s="407"/>
      <c r="D178" s="212"/>
      <c r="F178" s="407"/>
      <c r="I178" s="184"/>
      <c r="J178" s="405" t="s">
        <v>21</v>
      </c>
      <c r="L178" s="19"/>
      <c r="O178" s="30"/>
      <c r="P178" s="30"/>
      <c r="Q178" s="116"/>
      <c r="Y178" s="19"/>
    </row>
    <row r="179" spans="2:25">
      <c r="C179" s="407"/>
      <c r="D179" s="212"/>
      <c r="F179" s="407"/>
      <c r="I179" s="184"/>
      <c r="J179" s="178" t="s">
        <v>24</v>
      </c>
      <c r="L179" s="19"/>
      <c r="O179" s="30"/>
      <c r="P179" s="30"/>
      <c r="Q179" s="116"/>
      <c r="Y179" s="19"/>
    </row>
    <row r="180" spans="2:25">
      <c r="C180" s="407"/>
      <c r="D180" s="212"/>
      <c r="F180" s="407"/>
      <c r="I180" s="184"/>
      <c r="J180" s="88" t="s">
        <v>23</v>
      </c>
      <c r="K180" s="64" t="str">
        <f>CONCATENATE("selected(data('",N177,"'),'1') &amp;&amp; ",K165)</f>
        <v>selected(data('q16505_5'),'1') &amp;&amp; selected(data('q16501_5'),'1')</v>
      </c>
      <c r="L180" s="19"/>
      <c r="O180" s="30"/>
      <c r="P180" s="30"/>
      <c r="Q180" s="116"/>
      <c r="Y180" s="19"/>
    </row>
    <row r="181" spans="2:25" s="45" customFormat="1" ht="45">
      <c r="B181" s="117"/>
      <c r="C181" s="117"/>
      <c r="D181" s="117"/>
      <c r="E181" s="117"/>
      <c r="F181" s="117"/>
      <c r="G181" s="118"/>
      <c r="I181" s="54"/>
      <c r="L181" s="54" t="s">
        <v>174</v>
      </c>
      <c r="M181" s="45" t="s">
        <v>206</v>
      </c>
      <c r="N181" s="45" t="str">
        <f>CONCATENATE("q",$I$19, "_",$I$28)</f>
        <v>q16506_5</v>
      </c>
      <c r="O181" s="312" t="str">
        <f>CONCATENATE(SUBSTITUTE(N181, "q",""), ". ", SUBSTITUTE($E$19, "[item]",$E$28))</f>
        <v>16506_5. من ثانى فرد من أفراد الأسرة عمل أكثر على العسل ؟</v>
      </c>
      <c r="P181" s="190" t="str">
        <f>CONCATENATE(N181, ". ", SUBSTITUTE($B$19, "[item]",$B$28))</f>
        <v>q16506_5. Who from the household worked second most on Honey ?</v>
      </c>
      <c r="Q181" s="117"/>
      <c r="R181" s="117"/>
      <c r="S181" s="117" t="str">
        <f>K180</f>
        <v>selected(data('q16505_5'),'1') &amp;&amp; selected(data('q16501_5'),'1')</v>
      </c>
      <c r="T181" s="117"/>
      <c r="Y181" s="45" t="b">
        <v>1</v>
      </c>
    </row>
    <row r="182" spans="2:25" s="45" customFormat="1">
      <c r="B182" s="117"/>
      <c r="C182" s="117"/>
      <c r="D182" s="117"/>
      <c r="E182" s="117"/>
      <c r="F182" s="117"/>
      <c r="G182" s="118"/>
      <c r="I182" s="54"/>
      <c r="J182" s="45" t="s">
        <v>20</v>
      </c>
      <c r="L182" s="54"/>
      <c r="O182" s="312"/>
      <c r="P182" s="190"/>
      <c r="Q182" s="117"/>
      <c r="R182" s="117"/>
      <c r="S182" s="117"/>
      <c r="T182" s="117"/>
    </row>
    <row r="183" spans="2:25" s="45" customFormat="1" ht="60">
      <c r="B183" s="117"/>
      <c r="C183" s="117"/>
      <c r="D183" s="117"/>
      <c r="E183" s="117"/>
      <c r="F183" s="117"/>
      <c r="G183" s="118"/>
      <c r="I183" s="54"/>
      <c r="L183" s="2" t="s">
        <v>413</v>
      </c>
      <c r="M183" s="174" t="str">
        <f>CONCATENATE("roster_line_",N181)</f>
        <v>roster_line_q16506_5</v>
      </c>
      <c r="N183" s="45" t="str">
        <f>CONCATENATE(N181, "_1")</f>
        <v>q16506_5_1</v>
      </c>
      <c r="O183" s="312"/>
      <c r="P183" s="190"/>
      <c r="Q183" s="117"/>
      <c r="R183" s="117"/>
      <c r="S183" s="117" t="str">
        <f>K180</f>
        <v>selected(data('q16505_5'),'1') &amp;&amp; selected(data('q16501_5'),'1')</v>
      </c>
      <c r="T183" s="117"/>
      <c r="V183" s="31" t="str">
        <f>CONCATENATE("(data('",N173,"') != data('",N181,"')) || selected(data('",N177,"'), '2') || selected(data('",N164,"'), '2')  || data('valid_overall') == 0")</f>
        <v>(data('q16504_5') != data('q16506_5')) || selected(data('q16505_5'), '2') || selected(data('q16501_5'), '2')  || data('valid_overall') == 0</v>
      </c>
      <c r="W183" s="31" t="s">
        <v>1033</v>
      </c>
      <c r="X183" s="31" t="s">
        <v>555</v>
      </c>
      <c r="Y183" s="45" t="b">
        <v>1</v>
      </c>
    </row>
    <row r="184" spans="2:25" s="45" customFormat="1" ht="45">
      <c r="B184" s="117"/>
      <c r="C184" s="117"/>
      <c r="D184" s="117"/>
      <c r="E184" s="117"/>
      <c r="F184" s="117"/>
      <c r="G184" s="118"/>
      <c r="I184" s="54"/>
      <c r="L184" s="54" t="s">
        <v>18</v>
      </c>
      <c r="M184" s="45" t="s">
        <v>17</v>
      </c>
      <c r="N184" s="45" t="str">
        <f>CONCATENATE("q",$I$20, "_",$I$28)</f>
        <v>q16507_5</v>
      </c>
      <c r="O184" s="312" t="str">
        <f>CONCATENATE(SUBSTITUTE(N184, "q",""), ". ", SUBSTITUTE($E$20, "[item]",$E$28))</f>
        <v xml:space="preserve">16507_5. هل عمل أي شخص آخر من الأسرة على العسل ؟
</v>
      </c>
      <c r="P184" s="190" t="str">
        <f>CONCATENATE(N184, ". ", SUBSTITUTE($B$20, "[item]",$B$28))</f>
        <v>q16507_5. Did anyone else from the household work on on Honey  ?</v>
      </c>
      <c r="Q184" s="117"/>
      <c r="R184" s="117"/>
      <c r="S184" s="117" t="str">
        <f>K180</f>
        <v>selected(data('q16505_5'),'1') &amp;&amp; selected(data('q16501_5'),'1')</v>
      </c>
      <c r="T184" s="117"/>
      <c r="W184" s="117"/>
      <c r="X184" s="117"/>
      <c r="Y184" s="45" t="b">
        <v>1</v>
      </c>
    </row>
    <row r="185" spans="2:25">
      <c r="C185" s="407"/>
      <c r="D185" s="212"/>
      <c r="F185" s="407"/>
      <c r="I185" s="184"/>
      <c r="J185" s="405" t="s">
        <v>21</v>
      </c>
      <c r="L185" s="19"/>
      <c r="O185" s="30"/>
      <c r="P185" s="30"/>
      <c r="Q185" s="116"/>
      <c r="V185" s="45"/>
      <c r="W185" s="45"/>
      <c r="X185" s="45"/>
      <c r="Y185" s="19"/>
    </row>
    <row r="186" spans="2:25">
      <c r="C186" s="407"/>
      <c r="D186" s="212"/>
      <c r="F186" s="407"/>
      <c r="I186" s="184"/>
      <c r="J186" s="88" t="s">
        <v>24</v>
      </c>
      <c r="L186" s="19"/>
      <c r="O186" s="30"/>
      <c r="P186" s="30"/>
      <c r="Q186" s="116"/>
      <c r="V186" s="45"/>
      <c r="W186" s="117"/>
      <c r="X186" s="117"/>
      <c r="Y186" s="19"/>
    </row>
    <row r="187" spans="2:25">
      <c r="C187" s="407"/>
      <c r="D187" s="212"/>
      <c r="F187" s="407"/>
      <c r="I187" s="184"/>
      <c r="J187" s="88" t="s">
        <v>23</v>
      </c>
      <c r="K187" s="64" t="str">
        <f>CONCATENATE("selected(data('",N184,"'),'1') &amp;&amp; ",K180)</f>
        <v>selected(data('q16507_5'),'1') &amp;&amp; selected(data('q16505_5'),'1') &amp;&amp; selected(data('q16501_5'),'1')</v>
      </c>
      <c r="L187" s="19"/>
      <c r="O187" s="30"/>
      <c r="P187" s="30"/>
      <c r="Q187" s="116"/>
      <c r="Y187" s="19"/>
    </row>
    <row r="188" spans="2:25" s="45" customFormat="1" ht="45">
      <c r="B188" s="117"/>
      <c r="C188" s="117"/>
      <c r="D188" s="117"/>
      <c r="E188" s="117"/>
      <c r="F188" s="117"/>
      <c r="G188" s="118"/>
      <c r="I188" s="54"/>
      <c r="L188" s="54" t="s">
        <v>174</v>
      </c>
      <c r="M188" s="45" t="s">
        <v>206</v>
      </c>
      <c r="N188" s="45" t="str">
        <f>CONCATENATE("q",$I$21, "_",$I$28)</f>
        <v>q16508_5</v>
      </c>
      <c r="O188" s="312" t="str">
        <f>CONCATENATE(SUBSTITUTE(N188, "q",""), ". ", SUBSTITUTE($E$21, "[item]",$E$28))</f>
        <v>16508_5. من ثالث فرد من أفراد الأسرة عمل أكثر على العسل ؟</v>
      </c>
      <c r="P188" s="190" t="str">
        <f>CONCATENATE(N188, ". ", SUBSTITUTE($B$21, "[item]",$B$28))</f>
        <v>q16508_5. Who from the household work on third most on Honey  ?</v>
      </c>
      <c r="Q188" s="117"/>
      <c r="R188" s="117"/>
      <c r="S188" s="117" t="str">
        <f>K187</f>
        <v>selected(data('q16507_5'),'1') &amp;&amp; selected(data('q16505_5'),'1') &amp;&amp; selected(data('q16501_5'),'1')</v>
      </c>
      <c r="T188" s="117"/>
      <c r="V188" s="64"/>
      <c r="W188" s="64"/>
      <c r="X188" s="64"/>
      <c r="Y188" s="45" t="b">
        <v>1</v>
      </c>
    </row>
    <row r="189" spans="2:25" s="45" customFormat="1">
      <c r="B189" s="117"/>
      <c r="C189" s="117"/>
      <c r="D189" s="117"/>
      <c r="E189" s="117"/>
      <c r="F189" s="117"/>
      <c r="G189" s="118"/>
      <c r="I189" s="54"/>
      <c r="J189" s="88" t="s">
        <v>24</v>
      </c>
      <c r="L189" s="54"/>
      <c r="O189" s="312"/>
      <c r="P189" s="190"/>
      <c r="Q189" s="117"/>
      <c r="R189" s="117"/>
      <c r="S189" s="117"/>
      <c r="T189" s="117"/>
      <c r="V189" s="64"/>
      <c r="W189" s="64"/>
      <c r="X189" s="64"/>
    </row>
    <row r="190" spans="2:25" s="45" customFormat="1">
      <c r="B190" s="117"/>
      <c r="C190" s="117"/>
      <c r="D190" s="117"/>
      <c r="E190" s="117"/>
      <c r="F190" s="117"/>
      <c r="G190" s="118"/>
      <c r="I190" s="54"/>
      <c r="J190" s="45" t="s">
        <v>20</v>
      </c>
      <c r="L190" s="54"/>
      <c r="O190" s="312"/>
      <c r="P190" s="190"/>
      <c r="Q190" s="117"/>
      <c r="R190" s="117"/>
      <c r="S190" s="117"/>
      <c r="T190" s="117"/>
    </row>
    <row r="191" spans="2:25" s="45" customFormat="1">
      <c r="B191" s="117"/>
      <c r="C191" s="117"/>
      <c r="D191" s="117"/>
      <c r="E191" s="117"/>
      <c r="F191" s="117"/>
      <c r="G191" s="118"/>
      <c r="I191" s="54"/>
      <c r="J191" s="88" t="s">
        <v>23</v>
      </c>
      <c r="K191" s="45" t="str">
        <f>K187</f>
        <v>selected(data('q16507_5'),'1') &amp;&amp; selected(data('q16505_5'),'1') &amp;&amp; selected(data('q16501_5'),'1')</v>
      </c>
      <c r="L191" s="54"/>
      <c r="O191" s="312"/>
      <c r="P191" s="190"/>
      <c r="Q191" s="117"/>
      <c r="R191" s="117"/>
      <c r="S191" s="117"/>
      <c r="T191" s="117"/>
      <c r="W191" s="117"/>
      <c r="X191" s="117"/>
    </row>
    <row r="192" spans="2:25" s="45" customFormat="1" ht="105">
      <c r="B192" s="117"/>
      <c r="C192" s="117"/>
      <c r="D192" s="117"/>
      <c r="E192" s="117"/>
      <c r="F192" s="117"/>
      <c r="G192" s="118"/>
      <c r="I192" s="54"/>
      <c r="L192" s="2" t="s">
        <v>413</v>
      </c>
      <c r="M192" s="174" t="str">
        <f>CONCATENATE("roster_line_",N188)</f>
        <v>roster_line_q16508_5</v>
      </c>
      <c r="N192" s="45" t="str">
        <f>CONCATENATE(N188, "_1")</f>
        <v>q16508_5_1</v>
      </c>
      <c r="O192" s="312"/>
      <c r="P192" s="190"/>
      <c r="Q192" s="117"/>
      <c r="R192" s="117"/>
      <c r="S192" s="117" t="str">
        <f>K187</f>
        <v>selected(data('q16507_5'),'1') &amp;&amp; selected(data('q16505_5'),'1') &amp;&amp; selected(data('q16501_5'),'1')</v>
      </c>
      <c r="T192" s="117"/>
      <c r="V192" s="31" t="str">
        <f>CONCATENATE("(data('",N173,"') != data('",N181,"') &amp;&amp; data('",N173,"') != data('",N188,"') &amp;&amp; data('",N188,"') != data('",N181,"') ) || selected(data('",N164,"'), '2') || selected(data('",N177,"'), '2') || selected(data('",N184,"'), '2') || data('valid_overall') == 0")</f>
        <v>(data('q16504_5') != data('q16506_5') &amp;&amp; data('q16504_5') != data('q16508_5') &amp;&amp; data('q16508_5') != data('q16506_5') ) || selected(data('q16501_5'), '2') || selected(data('q16505_5'), '2') || selected(data('q16507_5'), '2') || data('valid_overall') == 0</v>
      </c>
      <c r="W192" s="31" t="s">
        <v>1033</v>
      </c>
      <c r="X192" s="31" t="s">
        <v>555</v>
      </c>
      <c r="Y192" s="45" t="b">
        <v>1</v>
      </c>
    </row>
    <row r="193" spans="2:25" s="45" customFormat="1">
      <c r="B193" s="117"/>
      <c r="C193" s="117"/>
      <c r="D193" s="117"/>
      <c r="E193" s="117"/>
      <c r="F193" s="117"/>
      <c r="G193" s="118"/>
      <c r="I193" s="54"/>
      <c r="L193" s="54"/>
      <c r="O193" s="312"/>
      <c r="P193" s="190"/>
      <c r="Q193" s="117"/>
      <c r="R193" s="117"/>
      <c r="S193" s="117"/>
      <c r="T193" s="117"/>
      <c r="V193" s="31"/>
      <c r="W193" s="117"/>
      <c r="X193" s="117"/>
    </row>
    <row r="194" spans="2:25" s="435" customFormat="1">
      <c r="B194" s="436"/>
      <c r="C194" s="436"/>
      <c r="D194" s="437"/>
      <c r="E194" s="438"/>
      <c r="F194" s="438"/>
      <c r="H194" s="439"/>
      <c r="I194" s="440"/>
      <c r="K194" s="436"/>
      <c r="L194" s="440"/>
      <c r="M194" s="441"/>
      <c r="N194" s="440"/>
      <c r="O194" s="438"/>
      <c r="P194" s="436"/>
      <c r="Q194" s="440"/>
      <c r="R194" s="440"/>
      <c r="S194" s="440"/>
      <c r="T194" s="440"/>
      <c r="U194" s="440"/>
      <c r="V194" s="440"/>
      <c r="W194" s="442"/>
      <c r="X194" s="436"/>
    </row>
    <row r="195" spans="2:25" s="45" customFormat="1">
      <c r="B195" s="117"/>
      <c r="C195" s="117"/>
      <c r="D195" s="117"/>
      <c r="E195" s="117"/>
      <c r="F195" s="117"/>
      <c r="G195" s="118"/>
      <c r="I195" s="54"/>
      <c r="J195" s="178" t="s">
        <v>24</v>
      </c>
      <c r="L195" s="54"/>
      <c r="O195" s="312"/>
      <c r="P195" s="190"/>
      <c r="Q195" s="117"/>
      <c r="R195" s="117"/>
      <c r="S195" s="117"/>
      <c r="T195" s="117"/>
      <c r="W195" s="117"/>
      <c r="X195" s="117"/>
    </row>
    <row r="196" spans="2:25" s="45" customFormat="1" ht="45">
      <c r="B196" s="117"/>
      <c r="C196" s="117"/>
      <c r="D196" s="117"/>
      <c r="E196" s="117"/>
      <c r="F196" s="117"/>
      <c r="G196" s="118"/>
      <c r="I196" s="54"/>
      <c r="L196" s="54" t="s">
        <v>18</v>
      </c>
      <c r="M196" s="45" t="s">
        <v>17</v>
      </c>
      <c r="N196" s="45" t="str">
        <f>CONCATENATE("q",$I$14, "_",$I$29)</f>
        <v>q16501_6</v>
      </c>
      <c r="O196" s="312" t="str">
        <f>CONCATENATE(SUBSTITUTE(N196, "q",""), ". ", SUBSTITUTE($E$14, "[item]",$E$29))</f>
        <v>16501_6. هل كان للأسرة أي مبيعات من زيت الزيتون  خلال الـ12 شهر؟</v>
      </c>
      <c r="P196" s="190" t="str">
        <f>CONCATENATE(N196, ". ", SUBSTITUTE($B$14, "[item]",$B$29))</f>
        <v>q16501_6. Did you have any sales of Olive oil  in the past 12 months?</v>
      </c>
      <c r="Q196" s="117"/>
      <c r="R196" s="117"/>
      <c r="S196" s="117" t="s">
        <v>587</v>
      </c>
      <c r="T196" s="117"/>
      <c r="W196" s="117"/>
      <c r="X196" s="117"/>
    </row>
    <row r="197" spans="2:25">
      <c r="C197" s="407"/>
      <c r="D197" s="212"/>
      <c r="F197" s="407"/>
      <c r="I197" s="184"/>
      <c r="J197" s="88" t="s">
        <v>23</v>
      </c>
      <c r="K197" s="64" t="str">
        <f>CONCATENATE("selected(data('",N196,"'),'1')")</f>
        <v>selected(data('q16501_6'),'1')</v>
      </c>
      <c r="L197" s="19"/>
      <c r="O197" s="30"/>
      <c r="P197" s="30"/>
      <c r="Q197" s="116"/>
      <c r="Y197" s="19"/>
    </row>
    <row r="198" spans="2:25" s="45" customFormat="1" ht="45">
      <c r="B198" s="117"/>
      <c r="C198" s="117"/>
      <c r="D198" s="117"/>
      <c r="E198" s="117"/>
      <c r="F198" s="117"/>
      <c r="G198" s="118"/>
      <c r="I198" s="54"/>
      <c r="L198" s="54" t="s">
        <v>19</v>
      </c>
      <c r="N198" s="45" t="str">
        <f>CONCATENATE("q",$I$15, "_",$I$29)</f>
        <v>q16502_6</v>
      </c>
      <c r="O198" s="312" t="str">
        <f>CONCATENATE(SUBSTITUTE(N198, "q",""), ". ", SUBSTITUTE($E$15, "[item]",$E$29))</f>
        <v>16502_6. كم كانت قيمة تلك المبيعات من زيت الزيتون  (بالجنيه)؟</v>
      </c>
      <c r="P198" s="190" t="str">
        <f>CONCATENATE(N198, ". ", SUBSTITUTE($B$15, "[item]",$B$29))</f>
        <v>q16502_6. What was the value of these sales? (in pounds)</v>
      </c>
      <c r="Q198" s="466" t="s">
        <v>1515</v>
      </c>
      <c r="R198" s="117" t="s">
        <v>1421</v>
      </c>
      <c r="S198" s="117" t="str">
        <f>K197</f>
        <v>selected(data('q16501_6'),'1')</v>
      </c>
      <c r="T198" s="117"/>
      <c r="W198" s="117"/>
      <c r="X198" s="117"/>
      <c r="Y198" s="45" t="b">
        <v>1</v>
      </c>
    </row>
    <row r="199" spans="2:25" s="45" customFormat="1" ht="45">
      <c r="B199" s="117"/>
      <c r="C199" s="117"/>
      <c r="D199" s="117"/>
      <c r="E199" s="117"/>
      <c r="F199" s="117"/>
      <c r="G199" s="118"/>
      <c r="I199" s="54"/>
      <c r="L199" s="54" t="s">
        <v>174</v>
      </c>
      <c r="M199" s="45" t="s">
        <v>206</v>
      </c>
      <c r="N199" s="45" t="str">
        <f>CONCATENATE("q",$I$16, "_",$I$29)</f>
        <v>q16503_6</v>
      </c>
      <c r="O199" s="312" t="str">
        <f>CONCATENATE(SUBSTITUTE(N199, "q",""), ". ", SUBSTITUTE($E$16, "[item]",$E$29))</f>
        <v>16503_6. من من أفراد الأسرة هو أكثر من اتخذ القرارات فيما يخص زيت الزيتون ؟</v>
      </c>
      <c r="P199" s="190" t="str">
        <f>CONCATENATE(N199, ". ", SUBSTITUTE($B$16, "[item]",$B$29))</f>
        <v>q16503_6. Who from the household decided most on  Olive oil ?</v>
      </c>
      <c r="Q199" s="117"/>
      <c r="R199" s="117"/>
      <c r="S199" s="117" t="str">
        <f>K197</f>
        <v>selected(data('q16501_6'),'1')</v>
      </c>
      <c r="T199" s="117"/>
      <c r="W199" s="117"/>
      <c r="X199" s="117"/>
      <c r="Y199" s="45" t="b">
        <v>1</v>
      </c>
    </row>
    <row r="200" spans="2:25" s="45" customFormat="1">
      <c r="B200" s="117"/>
      <c r="C200" s="117"/>
      <c r="D200" s="117"/>
      <c r="E200" s="117"/>
      <c r="F200" s="117"/>
      <c r="G200" s="118"/>
      <c r="I200" s="54"/>
      <c r="J200" s="178" t="s">
        <v>24</v>
      </c>
      <c r="L200" s="54"/>
      <c r="O200" s="312"/>
      <c r="P200" s="190"/>
      <c r="Q200" s="117"/>
      <c r="R200" s="117"/>
      <c r="S200" s="117"/>
      <c r="T200" s="117"/>
      <c r="W200" s="117"/>
      <c r="X200" s="117"/>
    </row>
    <row r="201" spans="2:25" s="45" customFormat="1">
      <c r="B201" s="117"/>
      <c r="C201" s="117"/>
      <c r="D201" s="117"/>
      <c r="E201" s="117"/>
      <c r="F201" s="117"/>
      <c r="G201" s="118"/>
      <c r="I201" s="54"/>
      <c r="J201" s="45" t="s">
        <v>21</v>
      </c>
      <c r="L201" s="54"/>
      <c r="O201" s="312"/>
      <c r="P201" s="190"/>
      <c r="Q201" s="117"/>
      <c r="R201" s="117"/>
      <c r="S201" s="117"/>
      <c r="T201" s="117"/>
      <c r="W201" s="117"/>
      <c r="X201" s="117"/>
    </row>
    <row r="202" spans="2:25" s="45" customFormat="1">
      <c r="B202" s="117"/>
      <c r="C202" s="117"/>
      <c r="D202" s="117"/>
      <c r="E202" s="117"/>
      <c r="F202" s="117"/>
      <c r="G202" s="118"/>
      <c r="I202" s="54"/>
      <c r="J202" s="178" t="s">
        <v>23</v>
      </c>
      <c r="K202" s="45" t="str">
        <f>K197</f>
        <v>selected(data('q16501_6'),'1')</v>
      </c>
      <c r="L202" s="54"/>
      <c r="O202" s="312"/>
      <c r="P202" s="190"/>
      <c r="Q202" s="117"/>
      <c r="R202" s="117"/>
      <c r="S202" s="117"/>
      <c r="T202" s="117"/>
      <c r="W202" s="117"/>
      <c r="X202" s="117"/>
    </row>
    <row r="203" spans="2:25" s="45" customFormat="1">
      <c r="B203" s="117"/>
      <c r="C203" s="117"/>
      <c r="D203" s="117"/>
      <c r="E203" s="117"/>
      <c r="F203" s="117"/>
      <c r="G203" s="118"/>
      <c r="I203" s="54"/>
      <c r="J203" s="45" t="s">
        <v>20</v>
      </c>
      <c r="L203" s="54"/>
      <c r="O203" s="312"/>
      <c r="P203" s="190"/>
      <c r="Q203" s="117"/>
      <c r="R203" s="117"/>
      <c r="S203" s="117"/>
      <c r="T203" s="117"/>
      <c r="W203" s="117"/>
      <c r="X203" s="117"/>
    </row>
    <row r="204" spans="2:25" s="45" customFormat="1" ht="30">
      <c r="B204" s="117"/>
      <c r="C204" s="117"/>
      <c r="D204" s="117"/>
      <c r="E204" s="117"/>
      <c r="F204" s="117"/>
      <c r="G204" s="118"/>
      <c r="I204" s="54"/>
      <c r="L204" s="2" t="s">
        <v>413</v>
      </c>
      <c r="M204" s="174" t="str">
        <f>CONCATENATE("roster_line_",N199)</f>
        <v>roster_line_q16503_6</v>
      </c>
      <c r="N204" s="45" t="str">
        <f>CONCATENATE(N199, "_1")</f>
        <v>q16503_6_1</v>
      </c>
      <c r="O204" s="312"/>
      <c r="P204" s="190"/>
      <c r="Q204" s="117"/>
      <c r="R204" s="117"/>
      <c r="S204" s="117" t="str">
        <f>K197</f>
        <v>selected(data('q16501_6'),'1')</v>
      </c>
      <c r="T204" s="117"/>
      <c r="W204" s="117"/>
      <c r="X204" s="117"/>
      <c r="Y204" s="45" t="b">
        <v>1</v>
      </c>
    </row>
    <row r="205" spans="2:25" s="45" customFormat="1" ht="45">
      <c r="B205" s="117"/>
      <c r="C205" s="117"/>
      <c r="D205" s="117"/>
      <c r="E205" s="117"/>
      <c r="F205" s="117"/>
      <c r="G205" s="118"/>
      <c r="I205" s="54"/>
      <c r="L205" s="54" t="s">
        <v>174</v>
      </c>
      <c r="M205" s="45" t="s">
        <v>206</v>
      </c>
      <c r="N205" s="45" t="str">
        <f>CONCATENATE("q",$I$17, "_",$I$29)</f>
        <v>q16504_6</v>
      </c>
      <c r="O205" s="312" t="str">
        <f>CONCATENATE(SUBSTITUTE(N205, "q",""), ". ", SUBSTITUTE($E$17, "[item]",$E$29))</f>
        <v>16504_6. من من أفراد الأسرة عمل أكثر على زيت الزيتون ؟</v>
      </c>
      <c r="P205" s="190" t="str">
        <f>CONCATENATE(N205, ". ", SUBSTITUTE($B$17, "[item]",$B$29))</f>
        <v>q16504_6. Who from the household worked the most on Olive oil  ?</v>
      </c>
      <c r="Q205" s="117"/>
      <c r="R205" s="117"/>
      <c r="S205" s="117" t="str">
        <f>K197</f>
        <v>selected(data('q16501_6'),'1')</v>
      </c>
      <c r="T205" s="117"/>
      <c r="W205" s="31"/>
      <c r="X205" s="31"/>
      <c r="Y205" s="45" t="b">
        <v>1</v>
      </c>
    </row>
    <row r="206" spans="2:25" s="45" customFormat="1">
      <c r="B206" s="117"/>
      <c r="C206" s="117"/>
      <c r="D206" s="117"/>
      <c r="E206" s="117"/>
      <c r="F206" s="117"/>
      <c r="G206" s="118"/>
      <c r="I206" s="54"/>
      <c r="J206" s="45" t="s">
        <v>21</v>
      </c>
      <c r="L206" s="54"/>
      <c r="O206" s="312"/>
      <c r="P206" s="190"/>
      <c r="Q206" s="117"/>
      <c r="R206" s="117"/>
      <c r="S206" s="117"/>
      <c r="T206" s="117"/>
      <c r="W206" s="117"/>
      <c r="X206" s="117"/>
    </row>
    <row r="207" spans="2:25" s="45" customFormat="1">
      <c r="B207" s="117"/>
      <c r="C207" s="117"/>
      <c r="D207" s="117"/>
      <c r="E207" s="117"/>
      <c r="F207" s="117"/>
      <c r="G207" s="118"/>
      <c r="I207" s="54"/>
      <c r="J207" s="45" t="s">
        <v>20</v>
      </c>
      <c r="L207" s="54"/>
      <c r="O207" s="312"/>
      <c r="P207" s="190"/>
      <c r="Q207" s="117"/>
      <c r="R207" s="117"/>
      <c r="S207" s="117"/>
      <c r="T207" s="117"/>
      <c r="W207" s="117"/>
      <c r="X207" s="117"/>
    </row>
    <row r="208" spans="2:25" s="45" customFormat="1" ht="30">
      <c r="B208" s="117"/>
      <c r="C208" s="117"/>
      <c r="D208" s="117"/>
      <c r="E208" s="117"/>
      <c r="F208" s="117"/>
      <c r="G208" s="118"/>
      <c r="I208" s="54"/>
      <c r="L208" s="2" t="s">
        <v>413</v>
      </c>
      <c r="M208" s="174" t="str">
        <f>CONCATENATE("roster_line_",N205)</f>
        <v>roster_line_q16504_6</v>
      </c>
      <c r="N208" s="45" t="str">
        <f>CONCATENATE(N205, "_1")</f>
        <v>q16504_6_1</v>
      </c>
      <c r="O208" s="312"/>
      <c r="P208" s="190"/>
      <c r="Q208" s="117"/>
      <c r="R208" s="117"/>
      <c r="S208" s="117" t="str">
        <f>K197</f>
        <v>selected(data('q16501_6'),'1')</v>
      </c>
      <c r="T208" s="117"/>
      <c r="V208" s="31"/>
      <c r="W208" s="117"/>
      <c r="X208" s="117"/>
      <c r="Y208" s="45" t="b">
        <v>1</v>
      </c>
    </row>
    <row r="209" spans="2:25" s="45" customFormat="1" ht="45">
      <c r="B209" s="117"/>
      <c r="C209" s="117"/>
      <c r="D209" s="117"/>
      <c r="E209" s="117"/>
      <c r="F209" s="117"/>
      <c r="G209" s="118"/>
      <c r="I209" s="54"/>
      <c r="L209" s="54" t="s">
        <v>18</v>
      </c>
      <c r="M209" s="45" t="s">
        <v>17</v>
      </c>
      <c r="N209" s="45" t="str">
        <f>CONCATENATE("q",$I$18, "_",$I$29)</f>
        <v>q16505_6</v>
      </c>
      <c r="O209" s="312" t="str">
        <f>CONCATENATE(SUBSTITUTE(N209, "q",""), ". ", SUBSTITUTE($E$18, "[item]",$E$29))</f>
        <v xml:space="preserve">16505_6. هل عمل أي شخص آخر من الأسرة على زيت الزيتون ؟
</v>
      </c>
      <c r="P209" s="190" t="str">
        <f>CONCATENATE(N209, ". ", SUBSTITUTE($B$18, "[item]",$B$29))</f>
        <v>q16505_6. Did anyone else from the household work on Olive oil  ?</v>
      </c>
      <c r="Q209" s="117"/>
      <c r="R209" s="117"/>
      <c r="S209" s="117" t="str">
        <f>K197</f>
        <v>selected(data('q16501_6'),'1')</v>
      </c>
      <c r="T209" s="117"/>
      <c r="W209" s="117"/>
      <c r="X209" s="117"/>
      <c r="Y209" s="45" t="b">
        <v>1</v>
      </c>
    </row>
    <row r="210" spans="2:25">
      <c r="C210" s="407"/>
      <c r="D210" s="212"/>
      <c r="F210" s="407"/>
      <c r="I210" s="184"/>
      <c r="J210" s="405" t="s">
        <v>21</v>
      </c>
      <c r="L210" s="19"/>
      <c r="O210" s="30"/>
      <c r="P210" s="30"/>
      <c r="Q210" s="116"/>
      <c r="Y210" s="19"/>
    </row>
    <row r="211" spans="2:25">
      <c r="C211" s="407"/>
      <c r="D211" s="212"/>
      <c r="F211" s="407"/>
      <c r="I211" s="184"/>
      <c r="J211" s="178" t="s">
        <v>24</v>
      </c>
      <c r="L211" s="19"/>
      <c r="O211" s="30"/>
      <c r="P211" s="30"/>
      <c r="Q211" s="116"/>
      <c r="Y211" s="19"/>
    </row>
    <row r="212" spans="2:25">
      <c r="C212" s="407"/>
      <c r="D212" s="212"/>
      <c r="F212" s="407"/>
      <c r="I212" s="184"/>
      <c r="J212" s="88" t="s">
        <v>23</v>
      </c>
      <c r="K212" s="64" t="str">
        <f>CONCATENATE("selected(data('",N209,"'),'1') &amp;&amp; ",K197)</f>
        <v>selected(data('q16505_6'),'1') &amp;&amp; selected(data('q16501_6'),'1')</v>
      </c>
      <c r="L212" s="19"/>
      <c r="O212" s="30"/>
      <c r="P212" s="30"/>
      <c r="Q212" s="116"/>
      <c r="Y212" s="19"/>
    </row>
    <row r="213" spans="2:25" s="45" customFormat="1" ht="45">
      <c r="B213" s="117"/>
      <c r="C213" s="117"/>
      <c r="D213" s="117"/>
      <c r="E213" s="117"/>
      <c r="F213" s="117"/>
      <c r="G213" s="118"/>
      <c r="I213" s="54"/>
      <c r="L213" s="54" t="s">
        <v>174</v>
      </c>
      <c r="M213" s="45" t="s">
        <v>206</v>
      </c>
      <c r="N213" s="45" t="str">
        <f>CONCATENATE("q",$I$19, "_",$I$29)</f>
        <v>q16506_6</v>
      </c>
      <c r="O213" s="312" t="str">
        <f>CONCATENATE(SUBSTITUTE(N213, "q",""), ". ", SUBSTITUTE($E$19, "[item]",$E$29))</f>
        <v>16506_6. من ثانى فرد من أفراد الأسرة عمل أكثر على زيت الزيتون ؟</v>
      </c>
      <c r="P213" s="190" t="str">
        <f>CONCATENATE(N213, ". ", SUBSTITUTE($B$19, "[item]",$B$29))</f>
        <v>q16506_6. Who from the household worked second most on Olive oil ?</v>
      </c>
      <c r="Q213" s="117"/>
      <c r="R213" s="117"/>
      <c r="S213" s="117" t="str">
        <f>K212</f>
        <v>selected(data('q16505_6'),'1') &amp;&amp; selected(data('q16501_6'),'1')</v>
      </c>
      <c r="T213" s="117"/>
      <c r="Y213" s="45" t="b">
        <v>1</v>
      </c>
    </row>
    <row r="214" spans="2:25" s="45" customFormat="1">
      <c r="B214" s="117"/>
      <c r="C214" s="117"/>
      <c r="D214" s="117"/>
      <c r="E214" s="117"/>
      <c r="F214" s="117"/>
      <c r="G214" s="118"/>
      <c r="I214" s="54"/>
      <c r="J214" s="45" t="s">
        <v>20</v>
      </c>
      <c r="L214" s="54"/>
      <c r="O214" s="312"/>
      <c r="P214" s="190"/>
      <c r="Q214" s="117"/>
      <c r="R214" s="117"/>
      <c r="S214" s="117"/>
      <c r="T214" s="117"/>
    </row>
    <row r="215" spans="2:25" s="45" customFormat="1" ht="60">
      <c r="B215" s="117"/>
      <c r="C215" s="117"/>
      <c r="D215" s="117"/>
      <c r="E215" s="117"/>
      <c r="F215" s="117"/>
      <c r="G215" s="118"/>
      <c r="I215" s="54"/>
      <c r="L215" s="2" t="s">
        <v>413</v>
      </c>
      <c r="M215" s="174" t="str">
        <f>CONCATENATE("roster_line_",N213)</f>
        <v>roster_line_q16506_6</v>
      </c>
      <c r="N215" s="45" t="str">
        <f>CONCATENATE(N213, "_1")</f>
        <v>q16506_6_1</v>
      </c>
      <c r="O215" s="312"/>
      <c r="P215" s="190"/>
      <c r="Q215" s="117"/>
      <c r="R215" s="117"/>
      <c r="S215" s="117" t="str">
        <f>K212</f>
        <v>selected(data('q16505_6'),'1') &amp;&amp; selected(data('q16501_6'),'1')</v>
      </c>
      <c r="T215" s="117"/>
      <c r="V215" s="31" t="str">
        <f>CONCATENATE("(data('",N205,"') != data('",N213,"')) || selected(data('",N209,"'), '2') || selected(data('",N196,"'), '2')  || data('valid_overall') == 0")</f>
        <v>(data('q16504_6') != data('q16506_6')) || selected(data('q16505_6'), '2') || selected(data('q16501_6'), '2')  || data('valid_overall') == 0</v>
      </c>
      <c r="W215" s="31" t="s">
        <v>1033</v>
      </c>
      <c r="X215" s="31" t="s">
        <v>555</v>
      </c>
      <c r="Y215" s="45" t="b">
        <v>1</v>
      </c>
    </row>
    <row r="216" spans="2:25" s="45" customFormat="1" ht="45">
      <c r="B216" s="117"/>
      <c r="C216" s="117"/>
      <c r="D216" s="117"/>
      <c r="E216" s="117"/>
      <c r="F216" s="117"/>
      <c r="G216" s="118"/>
      <c r="I216" s="54"/>
      <c r="L216" s="54" t="s">
        <v>18</v>
      </c>
      <c r="M216" s="45" t="s">
        <v>17</v>
      </c>
      <c r="N216" s="45" t="str">
        <f>CONCATENATE("q",$I$20, "_",$I$29)</f>
        <v>q16507_6</v>
      </c>
      <c r="O216" s="312" t="str">
        <f>CONCATENATE(SUBSTITUTE(N216, "q",""), ". ", SUBSTITUTE($E$20, "[item]",$E$29))</f>
        <v xml:space="preserve">16507_6. هل عمل أي شخص آخر من الأسرة على زيت الزيتون ؟
</v>
      </c>
      <c r="P216" s="190" t="str">
        <f>CONCATENATE(N216, ". ", SUBSTITUTE($B$20, "[item]",$B$29))</f>
        <v>q16507_6. Did anyone else from the household work on on Olive oil  ?</v>
      </c>
      <c r="Q216" s="117"/>
      <c r="R216" s="117"/>
      <c r="S216" s="117" t="str">
        <f>K212</f>
        <v>selected(data('q16505_6'),'1') &amp;&amp; selected(data('q16501_6'),'1')</v>
      </c>
      <c r="T216" s="117"/>
      <c r="W216" s="117"/>
      <c r="X216" s="117"/>
      <c r="Y216" s="45" t="b">
        <v>1</v>
      </c>
    </row>
    <row r="217" spans="2:25">
      <c r="C217" s="407"/>
      <c r="D217" s="212"/>
      <c r="F217" s="407"/>
      <c r="I217" s="184"/>
      <c r="J217" s="405" t="s">
        <v>21</v>
      </c>
      <c r="L217" s="19"/>
      <c r="O217" s="30"/>
      <c r="P217" s="30"/>
      <c r="Q217" s="116"/>
      <c r="V217" s="45"/>
      <c r="W217" s="45"/>
      <c r="X217" s="45"/>
      <c r="Y217" s="19"/>
    </row>
    <row r="218" spans="2:25">
      <c r="C218" s="407"/>
      <c r="D218" s="212"/>
      <c r="F218" s="407"/>
      <c r="I218" s="184"/>
      <c r="J218" s="88" t="s">
        <v>24</v>
      </c>
      <c r="L218" s="19"/>
      <c r="O218" s="30"/>
      <c r="P218" s="30"/>
      <c r="Q218" s="116"/>
      <c r="V218" s="45"/>
      <c r="W218" s="117"/>
      <c r="X218" s="117"/>
      <c r="Y218" s="19"/>
    </row>
    <row r="219" spans="2:25">
      <c r="C219" s="407"/>
      <c r="D219" s="212"/>
      <c r="F219" s="407"/>
      <c r="I219" s="184"/>
      <c r="J219" s="88" t="s">
        <v>23</v>
      </c>
      <c r="K219" s="64" t="str">
        <f>CONCATENATE("selected(data('",N216,"'),'1') &amp;&amp; ",K212)</f>
        <v>selected(data('q16507_6'),'1') &amp;&amp; selected(data('q16505_6'),'1') &amp;&amp; selected(data('q16501_6'),'1')</v>
      </c>
      <c r="L219" s="19"/>
      <c r="O219" s="30"/>
      <c r="P219" s="30"/>
      <c r="Q219" s="116"/>
      <c r="Y219" s="19"/>
    </row>
    <row r="220" spans="2:25" s="45" customFormat="1" ht="45">
      <c r="B220" s="117"/>
      <c r="C220" s="117"/>
      <c r="D220" s="117"/>
      <c r="E220" s="117"/>
      <c r="F220" s="117"/>
      <c r="G220" s="118"/>
      <c r="I220" s="54"/>
      <c r="L220" s="54" t="s">
        <v>174</v>
      </c>
      <c r="M220" s="45" t="s">
        <v>206</v>
      </c>
      <c r="N220" s="45" t="str">
        <f>CONCATENATE("q",$I$21, "_",$I$29)</f>
        <v>q16508_6</v>
      </c>
      <c r="O220" s="312" t="str">
        <f>CONCATENATE(SUBSTITUTE(N220, "q",""), ". ", SUBSTITUTE($E$21, "[item]",$E$29))</f>
        <v>16508_6. من ثالث فرد من أفراد الأسرة عمل أكثر على زيت الزيتون ؟</v>
      </c>
      <c r="P220" s="190" t="str">
        <f>CONCATENATE(N220, ". ", SUBSTITUTE($B$21, "[item]",$B$29))</f>
        <v>q16508_6. Who from the household work on third most on Olive oil  ?</v>
      </c>
      <c r="Q220" s="117"/>
      <c r="R220" s="117"/>
      <c r="S220" s="117" t="str">
        <f>K219</f>
        <v>selected(data('q16507_6'),'1') &amp;&amp; selected(data('q16505_6'),'1') &amp;&amp; selected(data('q16501_6'),'1')</v>
      </c>
      <c r="T220" s="117"/>
      <c r="V220" s="64"/>
      <c r="W220" s="64"/>
      <c r="X220" s="64"/>
      <c r="Y220" s="45" t="b">
        <v>1</v>
      </c>
    </row>
    <row r="221" spans="2:25" s="45" customFormat="1">
      <c r="B221" s="117"/>
      <c r="C221" s="117"/>
      <c r="D221" s="117"/>
      <c r="E221" s="117"/>
      <c r="F221" s="117"/>
      <c r="G221" s="118"/>
      <c r="I221" s="54"/>
      <c r="J221" s="88" t="s">
        <v>24</v>
      </c>
      <c r="L221" s="54"/>
      <c r="O221" s="312"/>
      <c r="P221" s="190"/>
      <c r="Q221" s="117"/>
      <c r="R221" s="117"/>
      <c r="S221" s="117"/>
      <c r="T221" s="117"/>
      <c r="V221" s="64"/>
      <c r="W221" s="64"/>
      <c r="X221" s="64"/>
    </row>
    <row r="222" spans="2:25" s="45" customFormat="1">
      <c r="B222" s="117"/>
      <c r="C222" s="117"/>
      <c r="D222" s="117"/>
      <c r="E222" s="117"/>
      <c r="F222" s="117"/>
      <c r="G222" s="118"/>
      <c r="I222" s="54"/>
      <c r="J222" s="45" t="s">
        <v>20</v>
      </c>
      <c r="L222" s="54"/>
      <c r="O222" s="312"/>
      <c r="P222" s="190"/>
      <c r="Q222" s="117"/>
      <c r="R222" s="117"/>
      <c r="S222" s="117"/>
      <c r="T222" s="117"/>
    </row>
    <row r="223" spans="2:25" s="45" customFormat="1">
      <c r="B223" s="117"/>
      <c r="C223" s="117"/>
      <c r="D223" s="117"/>
      <c r="E223" s="117"/>
      <c r="F223" s="117"/>
      <c r="G223" s="118"/>
      <c r="I223" s="54"/>
      <c r="J223" s="88" t="s">
        <v>23</v>
      </c>
      <c r="K223" s="45" t="str">
        <f>K219</f>
        <v>selected(data('q16507_6'),'1') &amp;&amp; selected(data('q16505_6'),'1') &amp;&amp; selected(data('q16501_6'),'1')</v>
      </c>
      <c r="L223" s="54"/>
      <c r="O223" s="312"/>
      <c r="P223" s="190"/>
      <c r="Q223" s="117"/>
      <c r="R223" s="117"/>
      <c r="S223" s="117"/>
      <c r="T223" s="117"/>
      <c r="W223" s="117"/>
      <c r="X223" s="117"/>
    </row>
    <row r="224" spans="2:25" s="45" customFormat="1" ht="105">
      <c r="B224" s="117"/>
      <c r="C224" s="117"/>
      <c r="D224" s="117"/>
      <c r="E224" s="117"/>
      <c r="F224" s="117"/>
      <c r="G224" s="118"/>
      <c r="I224" s="54"/>
      <c r="L224" s="2" t="s">
        <v>413</v>
      </c>
      <c r="M224" s="174" t="str">
        <f>CONCATENATE("roster_line_",N220)</f>
        <v>roster_line_q16508_6</v>
      </c>
      <c r="N224" s="45" t="str">
        <f>CONCATENATE(N220, "_1")</f>
        <v>q16508_6_1</v>
      </c>
      <c r="O224" s="312"/>
      <c r="P224" s="190"/>
      <c r="Q224" s="117"/>
      <c r="R224" s="117"/>
      <c r="S224" s="117" t="str">
        <f>K219</f>
        <v>selected(data('q16507_6'),'1') &amp;&amp; selected(data('q16505_6'),'1') &amp;&amp; selected(data('q16501_6'),'1')</v>
      </c>
      <c r="T224" s="117"/>
      <c r="V224" s="31" t="str">
        <f>CONCATENATE("(data('",N205,"') != data('",N213,"') &amp;&amp; data('",N205,"') != data('",N220,"') &amp;&amp; data('",N220,"') != data('",N213,"') ) || selected(data('",N196,"'), '2') || selected(data('",N209,"'), '2') || selected(data('",N216,"'), '2') || data('valid_overall') == 0")</f>
        <v>(data('q16504_6') != data('q16506_6') &amp;&amp; data('q16504_6') != data('q16508_6') &amp;&amp; data('q16508_6') != data('q16506_6') ) || selected(data('q16501_6'), '2') || selected(data('q16505_6'), '2') || selected(data('q16507_6'), '2') || data('valid_overall') == 0</v>
      </c>
      <c r="W224" s="31" t="s">
        <v>1033</v>
      </c>
      <c r="X224" s="31" t="s">
        <v>555</v>
      </c>
      <c r="Y224" s="45" t="b">
        <v>1</v>
      </c>
    </row>
    <row r="225" spans="2:25" s="45" customFormat="1">
      <c r="B225" s="117"/>
      <c r="C225" s="117"/>
      <c r="D225" s="117"/>
      <c r="E225" s="117"/>
      <c r="F225" s="117"/>
      <c r="G225" s="118"/>
      <c r="I225" s="54"/>
      <c r="L225" s="54"/>
      <c r="O225" s="312"/>
      <c r="P225" s="190"/>
      <c r="Q225" s="117"/>
      <c r="R225" s="117"/>
      <c r="S225" s="117"/>
      <c r="T225" s="117"/>
      <c r="V225" s="31"/>
      <c r="W225" s="117"/>
      <c r="X225" s="117"/>
    </row>
    <row r="226" spans="2:25" s="435" customFormat="1">
      <c r="B226" s="436"/>
      <c r="C226" s="436"/>
      <c r="D226" s="437"/>
      <c r="E226" s="438"/>
      <c r="F226" s="438"/>
      <c r="H226" s="439"/>
      <c r="I226" s="440"/>
      <c r="K226" s="436"/>
      <c r="L226" s="440"/>
      <c r="M226" s="441"/>
      <c r="N226" s="440"/>
      <c r="O226" s="438"/>
      <c r="P226" s="436"/>
      <c r="Q226" s="440"/>
      <c r="R226" s="440"/>
      <c r="S226" s="440"/>
      <c r="T226" s="440"/>
      <c r="U226" s="440"/>
      <c r="V226" s="440"/>
      <c r="W226" s="442"/>
      <c r="X226" s="436"/>
    </row>
    <row r="227" spans="2:25" s="45" customFormat="1">
      <c r="B227" s="117"/>
      <c r="C227" s="117"/>
      <c r="D227" s="117"/>
      <c r="E227" s="117"/>
      <c r="F227" s="117"/>
      <c r="G227" s="118"/>
      <c r="I227" s="54"/>
      <c r="J227" s="178" t="s">
        <v>24</v>
      </c>
      <c r="L227" s="54"/>
      <c r="O227" s="312"/>
      <c r="P227" s="190"/>
      <c r="Q227" s="117"/>
      <c r="R227" s="117"/>
      <c r="S227" s="117"/>
      <c r="T227" s="117"/>
      <c r="W227" s="117"/>
      <c r="X227" s="117"/>
    </row>
    <row r="228" spans="2:25" s="45" customFormat="1" ht="45">
      <c r="B228" s="117"/>
      <c r="C228" s="117"/>
      <c r="D228" s="117"/>
      <c r="E228" s="117"/>
      <c r="F228" s="117"/>
      <c r="G228" s="118"/>
      <c r="I228" s="54"/>
      <c r="L228" s="54" t="s">
        <v>18</v>
      </c>
      <c r="M228" s="45" t="s">
        <v>17</v>
      </c>
      <c r="N228" s="45" t="str">
        <f>CONCATENATE("q",$I$14, "_",$I$30)</f>
        <v>q16501_7</v>
      </c>
      <c r="O228" s="312" t="str">
        <f>CONCATENATE(SUBSTITUTE(N228, "q",""), ". ", SUBSTITUTE($E$14, "[item]",$E$30))</f>
        <v>16501_7. هل كان للأسرة أي مبيعات من أي مبيعات أخرى  خلال الـ12 شهر؟</v>
      </c>
      <c r="P228" s="190" t="str">
        <f>CONCATENATE(N228, ". ", SUBSTITUTE($B$14, "[item]",$B$30))</f>
        <v>q16501_7. Did you have any sales of Other sales  in the past 12 months?</v>
      </c>
      <c r="Q228" s="117"/>
      <c r="R228" s="117"/>
      <c r="S228" s="117" t="s">
        <v>587</v>
      </c>
      <c r="T228" s="117"/>
      <c r="W228" s="117"/>
      <c r="X228" s="117"/>
    </row>
    <row r="229" spans="2:25">
      <c r="C229" s="407"/>
      <c r="D229" s="212"/>
      <c r="F229" s="407"/>
      <c r="I229" s="184"/>
      <c r="J229" s="88" t="s">
        <v>23</v>
      </c>
      <c r="K229" s="64" t="str">
        <f>CONCATENATE("selected(data('",N228,"'),'1')")</f>
        <v>selected(data('q16501_7'),'1')</v>
      </c>
      <c r="L229" s="19"/>
      <c r="O229" s="30"/>
      <c r="P229" s="30"/>
      <c r="Q229" s="116"/>
      <c r="Y229" s="19"/>
    </row>
    <row r="230" spans="2:25" s="45" customFormat="1" ht="45">
      <c r="B230" s="117"/>
      <c r="C230" s="117"/>
      <c r="D230" s="117"/>
      <c r="E230" s="117"/>
      <c r="F230" s="117"/>
      <c r="G230" s="118"/>
      <c r="I230" s="54"/>
      <c r="L230" s="54" t="s">
        <v>19</v>
      </c>
      <c r="N230" s="45" t="str">
        <f>CONCATENATE("q",$I$15, "_",$I$30)</f>
        <v>q16502_7</v>
      </c>
      <c r="O230" s="312" t="str">
        <f>CONCATENATE(SUBSTITUTE(N230, "q",""), ". ", SUBSTITUTE($E$15, "[item]",$E$30))</f>
        <v>16502_7. كم كانت قيمة تلك المبيعات من أي مبيعات أخرى  (بالجنيه)؟</v>
      </c>
      <c r="P230" s="190" t="str">
        <f>CONCATENATE(N230, ". ", SUBSTITUTE($B$15, "[item]",$B$30))</f>
        <v>q16502_7. What was the value of these sales? (in pounds)</v>
      </c>
      <c r="Q230" s="466" t="s">
        <v>1515</v>
      </c>
      <c r="R230" s="117" t="s">
        <v>1421</v>
      </c>
      <c r="S230" s="117" t="str">
        <f>K229</f>
        <v>selected(data('q16501_7'),'1')</v>
      </c>
      <c r="T230" s="117"/>
      <c r="W230" s="117"/>
      <c r="X230" s="117"/>
      <c r="Y230" s="45" t="b">
        <v>1</v>
      </c>
    </row>
    <row r="231" spans="2:25" s="45" customFormat="1" ht="45">
      <c r="B231" s="117"/>
      <c r="C231" s="117"/>
      <c r="D231" s="117"/>
      <c r="E231" s="117"/>
      <c r="F231" s="117"/>
      <c r="G231" s="118"/>
      <c r="I231" s="54"/>
      <c r="L231" s="54" t="s">
        <v>174</v>
      </c>
      <c r="M231" s="45" t="s">
        <v>206</v>
      </c>
      <c r="N231" s="45" t="str">
        <f>CONCATENATE("q",$I$16, "_",$I$30)</f>
        <v>q16503_7</v>
      </c>
      <c r="O231" s="312" t="str">
        <f>CONCATENATE(SUBSTITUTE(N231, "q",""), ". ", SUBSTITUTE($E$16, "[item]",$E$30))</f>
        <v>16503_7. من من أفراد الأسرة هو أكثر من اتخذ القرارات فيما يخص أي مبيعات أخرى ؟</v>
      </c>
      <c r="P231" s="190" t="str">
        <f>CONCATENATE(N231, ". ", SUBSTITUTE($B$16, "[item]",$B$30))</f>
        <v>q16503_7. Who from the household decided most on  Other sales ?</v>
      </c>
      <c r="Q231" s="117"/>
      <c r="R231" s="117"/>
      <c r="S231" s="117" t="str">
        <f>K229</f>
        <v>selected(data('q16501_7'),'1')</v>
      </c>
      <c r="T231" s="117"/>
      <c r="W231" s="117"/>
      <c r="X231" s="117"/>
      <c r="Y231" s="45" t="b">
        <v>1</v>
      </c>
    </row>
    <row r="232" spans="2:25" s="45" customFormat="1">
      <c r="B232" s="117"/>
      <c r="C232" s="117"/>
      <c r="D232" s="117"/>
      <c r="E232" s="117"/>
      <c r="F232" s="117"/>
      <c r="G232" s="118"/>
      <c r="I232" s="54"/>
      <c r="J232" s="178" t="s">
        <v>24</v>
      </c>
      <c r="L232" s="54"/>
      <c r="O232" s="312"/>
      <c r="P232" s="190"/>
      <c r="Q232" s="117"/>
      <c r="R232" s="117"/>
      <c r="S232" s="117"/>
      <c r="T232" s="117"/>
      <c r="W232" s="117"/>
      <c r="X232" s="117"/>
    </row>
    <row r="233" spans="2:25" s="45" customFormat="1">
      <c r="B233" s="117"/>
      <c r="C233" s="117"/>
      <c r="D233" s="117"/>
      <c r="E233" s="117"/>
      <c r="F233" s="117"/>
      <c r="G233" s="118"/>
      <c r="I233" s="54"/>
      <c r="J233" s="45" t="s">
        <v>21</v>
      </c>
      <c r="L233" s="54"/>
      <c r="O233" s="312"/>
      <c r="P233" s="190"/>
      <c r="Q233" s="117"/>
      <c r="R233" s="117"/>
      <c r="S233" s="117"/>
      <c r="T233" s="117"/>
      <c r="W233" s="117"/>
      <c r="X233" s="117"/>
    </row>
    <row r="234" spans="2:25" s="45" customFormat="1">
      <c r="B234" s="117"/>
      <c r="C234" s="117"/>
      <c r="D234" s="117"/>
      <c r="E234" s="117"/>
      <c r="F234" s="117"/>
      <c r="G234" s="118"/>
      <c r="I234" s="54"/>
      <c r="J234" s="178" t="s">
        <v>23</v>
      </c>
      <c r="K234" s="45" t="str">
        <f>K229</f>
        <v>selected(data('q16501_7'),'1')</v>
      </c>
      <c r="L234" s="54"/>
      <c r="O234" s="312"/>
      <c r="P234" s="190"/>
      <c r="Q234" s="117"/>
      <c r="R234" s="117"/>
      <c r="S234" s="117"/>
      <c r="T234" s="117"/>
      <c r="W234" s="117"/>
      <c r="X234" s="117"/>
    </row>
    <row r="235" spans="2:25" s="45" customFormat="1">
      <c r="B235" s="117"/>
      <c r="C235" s="117"/>
      <c r="D235" s="117"/>
      <c r="E235" s="117"/>
      <c r="F235" s="117"/>
      <c r="G235" s="118"/>
      <c r="I235" s="54"/>
      <c r="J235" s="45" t="s">
        <v>20</v>
      </c>
      <c r="L235" s="54"/>
      <c r="O235" s="312"/>
      <c r="P235" s="190"/>
      <c r="Q235" s="117"/>
      <c r="R235" s="117"/>
      <c r="S235" s="117"/>
      <c r="T235" s="117"/>
      <c r="W235" s="117"/>
      <c r="X235" s="117"/>
    </row>
    <row r="236" spans="2:25" s="45" customFormat="1" ht="30">
      <c r="B236" s="117"/>
      <c r="C236" s="117"/>
      <c r="D236" s="117"/>
      <c r="E236" s="117"/>
      <c r="F236" s="117"/>
      <c r="G236" s="118"/>
      <c r="I236" s="54"/>
      <c r="L236" s="2" t="s">
        <v>413</v>
      </c>
      <c r="M236" s="174" t="str">
        <f>CONCATENATE("roster_line_",N231)</f>
        <v>roster_line_q16503_7</v>
      </c>
      <c r="N236" s="45" t="str">
        <f>CONCATENATE(N231, "_1")</f>
        <v>q16503_7_1</v>
      </c>
      <c r="O236" s="312"/>
      <c r="P236" s="190"/>
      <c r="Q236" s="117"/>
      <c r="R236" s="117"/>
      <c r="S236" s="117" t="str">
        <f>K229</f>
        <v>selected(data('q16501_7'),'1')</v>
      </c>
      <c r="T236" s="117"/>
      <c r="W236" s="117"/>
      <c r="X236" s="117"/>
      <c r="Y236" s="45" t="b">
        <v>1</v>
      </c>
    </row>
    <row r="237" spans="2:25" s="45" customFormat="1" ht="45">
      <c r="B237" s="117"/>
      <c r="C237" s="117"/>
      <c r="D237" s="117"/>
      <c r="E237" s="117"/>
      <c r="F237" s="117"/>
      <c r="G237" s="118"/>
      <c r="I237" s="54"/>
      <c r="L237" s="54" t="s">
        <v>174</v>
      </c>
      <c r="M237" s="45" t="s">
        <v>206</v>
      </c>
      <c r="N237" s="45" t="str">
        <f>CONCATENATE("q",$I$17, "_",$I$30)</f>
        <v>q16504_7</v>
      </c>
      <c r="O237" s="312" t="str">
        <f>CONCATENATE(SUBSTITUTE(N237, "q",""), ". ", SUBSTITUTE($E$17, "[item]",$E$30))</f>
        <v>16504_7. من من أفراد الأسرة عمل أكثر على أي مبيعات أخرى ؟</v>
      </c>
      <c r="P237" s="190" t="str">
        <f>CONCATENATE(N237, ". ", SUBSTITUTE($B$17, "[item]",$B$30))</f>
        <v>q16504_7. Who from the household worked the most on Other sales  ?</v>
      </c>
      <c r="Q237" s="117"/>
      <c r="R237" s="117"/>
      <c r="S237" s="117" t="str">
        <f>K229</f>
        <v>selected(data('q16501_7'),'1')</v>
      </c>
      <c r="T237" s="117"/>
      <c r="W237" s="31"/>
      <c r="X237" s="31"/>
      <c r="Y237" s="45" t="b">
        <v>1</v>
      </c>
    </row>
    <row r="238" spans="2:25" s="45" customFormat="1">
      <c r="B238" s="117"/>
      <c r="C238" s="117"/>
      <c r="D238" s="117"/>
      <c r="E238" s="117"/>
      <c r="F238" s="117"/>
      <c r="G238" s="118"/>
      <c r="I238" s="54"/>
      <c r="J238" s="45" t="s">
        <v>21</v>
      </c>
      <c r="L238" s="54"/>
      <c r="O238" s="312"/>
      <c r="P238" s="190"/>
      <c r="Q238" s="117"/>
      <c r="R238" s="117"/>
      <c r="S238" s="117"/>
      <c r="T238" s="117"/>
      <c r="W238" s="117"/>
      <c r="X238" s="117"/>
    </row>
    <row r="239" spans="2:25" s="45" customFormat="1">
      <c r="B239" s="117"/>
      <c r="C239" s="117"/>
      <c r="D239" s="117"/>
      <c r="E239" s="117"/>
      <c r="F239" s="117"/>
      <c r="G239" s="118"/>
      <c r="I239" s="54"/>
      <c r="J239" s="45" t="s">
        <v>20</v>
      </c>
      <c r="L239" s="54"/>
      <c r="O239" s="312"/>
      <c r="P239" s="190"/>
      <c r="Q239" s="117"/>
      <c r="R239" s="117"/>
      <c r="S239" s="117"/>
      <c r="T239" s="117"/>
      <c r="W239" s="117"/>
      <c r="X239" s="117"/>
    </row>
    <row r="240" spans="2:25" s="45" customFormat="1" ht="30">
      <c r="B240" s="117"/>
      <c r="C240" s="117"/>
      <c r="D240" s="117"/>
      <c r="E240" s="117"/>
      <c r="F240" s="117"/>
      <c r="G240" s="118"/>
      <c r="I240" s="54"/>
      <c r="L240" s="2" t="s">
        <v>413</v>
      </c>
      <c r="M240" s="174" t="str">
        <f>CONCATENATE("roster_line_",N237)</f>
        <v>roster_line_q16504_7</v>
      </c>
      <c r="N240" s="45" t="str">
        <f>CONCATENATE(N237, "_1")</f>
        <v>q16504_7_1</v>
      </c>
      <c r="O240" s="312"/>
      <c r="P240" s="190"/>
      <c r="Q240" s="117"/>
      <c r="R240" s="117"/>
      <c r="S240" s="117" t="str">
        <f>K229</f>
        <v>selected(data('q16501_7'),'1')</v>
      </c>
      <c r="T240" s="117"/>
      <c r="V240" s="31"/>
      <c r="W240" s="117"/>
      <c r="X240" s="117"/>
      <c r="Y240" s="45" t="b">
        <v>1</v>
      </c>
    </row>
    <row r="241" spans="2:25" s="45" customFormat="1" ht="60">
      <c r="B241" s="117"/>
      <c r="C241" s="117"/>
      <c r="D241" s="117"/>
      <c r="E241" s="117"/>
      <c r="F241" s="117"/>
      <c r="G241" s="118"/>
      <c r="I241" s="54"/>
      <c r="L241" s="54" t="s">
        <v>18</v>
      </c>
      <c r="M241" s="45" t="s">
        <v>17</v>
      </c>
      <c r="N241" s="45" t="str">
        <f>CONCATENATE("q",$I$18, "_",$I$30)</f>
        <v>q16505_7</v>
      </c>
      <c r="O241" s="312" t="str">
        <f>CONCATENATE(SUBSTITUTE(N241, "q",""), ". ", SUBSTITUTE($E$18, "[item]",$E$30))</f>
        <v xml:space="preserve">16505_7. هل عمل أي شخص آخر من الأسرة على أي مبيعات أخرى ؟
</v>
      </c>
      <c r="P241" s="190" t="str">
        <f>CONCATENATE(N241, ". ", SUBSTITUTE($B$18, "[item]",$B$30))</f>
        <v>q16505_7. Did anyone else from the household work on Other sales  ?</v>
      </c>
      <c r="Q241" s="117"/>
      <c r="R241" s="117"/>
      <c r="S241" s="117" t="str">
        <f>K229</f>
        <v>selected(data('q16501_7'),'1')</v>
      </c>
      <c r="T241" s="117"/>
      <c r="W241" s="117"/>
      <c r="X241" s="117"/>
      <c r="Y241" s="45" t="b">
        <v>1</v>
      </c>
    </row>
    <row r="242" spans="2:25">
      <c r="C242" s="407"/>
      <c r="D242" s="212"/>
      <c r="F242" s="407"/>
      <c r="I242" s="184"/>
      <c r="J242" s="405" t="s">
        <v>21</v>
      </c>
      <c r="L242" s="19"/>
      <c r="O242" s="30"/>
      <c r="P242" s="30"/>
      <c r="Q242" s="116"/>
      <c r="Y242" s="19"/>
    </row>
    <row r="243" spans="2:25">
      <c r="C243" s="407"/>
      <c r="D243" s="212"/>
      <c r="F243" s="407"/>
      <c r="I243" s="184"/>
      <c r="J243" s="178" t="s">
        <v>24</v>
      </c>
      <c r="L243" s="19"/>
      <c r="O243" s="30"/>
      <c r="P243" s="30"/>
      <c r="Q243" s="116"/>
      <c r="Y243" s="19"/>
    </row>
    <row r="244" spans="2:25">
      <c r="C244" s="407"/>
      <c r="D244" s="212"/>
      <c r="F244" s="407"/>
      <c r="I244" s="184"/>
      <c r="J244" s="88" t="s">
        <v>23</v>
      </c>
      <c r="K244" s="64" t="str">
        <f>CONCATENATE("selected(data('",N241,"'),'1') &amp;&amp; ",K229)</f>
        <v>selected(data('q16505_7'),'1') &amp;&amp; selected(data('q16501_7'),'1')</v>
      </c>
      <c r="L244" s="19"/>
      <c r="O244" s="30"/>
      <c r="P244" s="30"/>
      <c r="Q244" s="116"/>
      <c r="Y244" s="19"/>
    </row>
    <row r="245" spans="2:25" s="45" customFormat="1" ht="45">
      <c r="B245" s="117"/>
      <c r="C245" s="117"/>
      <c r="D245" s="117"/>
      <c r="E245" s="117"/>
      <c r="F245" s="117"/>
      <c r="G245" s="118"/>
      <c r="I245" s="54"/>
      <c r="L245" s="54" t="s">
        <v>174</v>
      </c>
      <c r="M245" s="45" t="s">
        <v>206</v>
      </c>
      <c r="N245" s="45" t="str">
        <f>CONCATENATE("q",$I$19, "_",$I$30)</f>
        <v>q16506_7</v>
      </c>
      <c r="O245" s="312" t="str">
        <f>CONCATENATE(SUBSTITUTE(N245, "q",""), ". ", SUBSTITUTE($E$19, "[item]",$E$30))</f>
        <v>16506_7. من ثانى فرد من أفراد الأسرة عمل أكثر على أي مبيعات أخرى ؟</v>
      </c>
      <c r="P245" s="190" t="str">
        <f>CONCATENATE(N245, ". ", SUBSTITUTE($B$19, "[item]",$B$30))</f>
        <v>q16506_7. Who from the household worked second most on Other sales ?</v>
      </c>
      <c r="Q245" s="117"/>
      <c r="R245" s="117"/>
      <c r="S245" s="117" t="str">
        <f>K244</f>
        <v>selected(data('q16505_7'),'1') &amp;&amp; selected(data('q16501_7'),'1')</v>
      </c>
      <c r="T245" s="117"/>
      <c r="Y245" s="45" t="b">
        <v>1</v>
      </c>
    </row>
    <row r="246" spans="2:25" s="45" customFormat="1">
      <c r="B246" s="117"/>
      <c r="C246" s="117"/>
      <c r="D246" s="117"/>
      <c r="E246" s="117"/>
      <c r="F246" s="117"/>
      <c r="G246" s="118"/>
      <c r="I246" s="54"/>
      <c r="J246" s="45" t="s">
        <v>20</v>
      </c>
      <c r="L246" s="54"/>
      <c r="O246" s="312"/>
      <c r="P246" s="190"/>
      <c r="Q246" s="117"/>
      <c r="R246" s="117"/>
      <c r="S246" s="117"/>
      <c r="T246" s="117"/>
    </row>
    <row r="247" spans="2:25" s="45" customFormat="1" ht="60">
      <c r="B247" s="117"/>
      <c r="C247" s="117"/>
      <c r="D247" s="117"/>
      <c r="E247" s="117"/>
      <c r="F247" s="117"/>
      <c r="G247" s="118"/>
      <c r="I247" s="54"/>
      <c r="L247" s="2" t="s">
        <v>413</v>
      </c>
      <c r="M247" s="174" t="str">
        <f>CONCATENATE("roster_line_",N245)</f>
        <v>roster_line_q16506_7</v>
      </c>
      <c r="N247" s="45" t="str">
        <f>CONCATENATE(N245, "_1")</f>
        <v>q16506_7_1</v>
      </c>
      <c r="O247" s="312"/>
      <c r="P247" s="190"/>
      <c r="Q247" s="117"/>
      <c r="R247" s="117"/>
      <c r="S247" s="117" t="str">
        <f>K244</f>
        <v>selected(data('q16505_7'),'1') &amp;&amp; selected(data('q16501_7'),'1')</v>
      </c>
      <c r="T247" s="117"/>
      <c r="V247" s="31" t="str">
        <f>CONCATENATE("(data('",N237,"') != data('",N245,"')) || selected(data('",N241,"'), '2') || selected(data('",N228,"'), '2')  || data('valid_overall') == 0")</f>
        <v>(data('q16504_7') != data('q16506_7')) || selected(data('q16505_7'), '2') || selected(data('q16501_7'), '2')  || data('valid_overall') == 0</v>
      </c>
      <c r="W247" s="31" t="s">
        <v>1033</v>
      </c>
      <c r="X247" s="31" t="s">
        <v>555</v>
      </c>
      <c r="Y247" s="45" t="b">
        <v>1</v>
      </c>
    </row>
    <row r="248" spans="2:25" s="45" customFormat="1" ht="60">
      <c r="B248" s="117"/>
      <c r="C248" s="117"/>
      <c r="D248" s="117"/>
      <c r="E248" s="117"/>
      <c r="F248" s="117"/>
      <c r="G248" s="118"/>
      <c r="I248" s="54"/>
      <c r="L248" s="54" t="s">
        <v>18</v>
      </c>
      <c r="M248" s="45" t="s">
        <v>17</v>
      </c>
      <c r="N248" s="45" t="str">
        <f>CONCATENATE("q",$I$20, "_",$I$30)</f>
        <v>q16507_7</v>
      </c>
      <c r="O248" s="312" t="str">
        <f>CONCATENATE(SUBSTITUTE(N248, "q",""), ". ", SUBSTITUTE($E$20, "[item]",$E$30))</f>
        <v xml:space="preserve">16507_7. هل عمل أي شخص آخر من الأسرة على أي مبيعات أخرى ؟
</v>
      </c>
      <c r="P248" s="190" t="str">
        <f>CONCATENATE(N248, ". ", SUBSTITUTE($B$20, "[item]",$B$30))</f>
        <v>q16507_7. Did anyone else from the household work on on Other sales  ?</v>
      </c>
      <c r="Q248" s="117"/>
      <c r="R248" s="117"/>
      <c r="S248" s="117" t="str">
        <f>K244</f>
        <v>selected(data('q16505_7'),'1') &amp;&amp; selected(data('q16501_7'),'1')</v>
      </c>
      <c r="T248" s="117"/>
      <c r="W248" s="117"/>
      <c r="X248" s="117"/>
      <c r="Y248" s="45" t="b">
        <v>1</v>
      </c>
    </row>
    <row r="249" spans="2:25">
      <c r="C249" s="407"/>
      <c r="D249" s="212"/>
      <c r="F249" s="407"/>
      <c r="I249" s="184"/>
      <c r="J249" s="405" t="s">
        <v>21</v>
      </c>
      <c r="L249" s="19"/>
      <c r="O249" s="30"/>
      <c r="P249" s="30"/>
      <c r="Q249" s="116"/>
      <c r="V249" s="45"/>
      <c r="W249" s="45"/>
      <c r="X249" s="45"/>
      <c r="Y249" s="19"/>
    </row>
    <row r="250" spans="2:25">
      <c r="C250" s="407"/>
      <c r="D250" s="212"/>
      <c r="F250" s="407"/>
      <c r="I250" s="184"/>
      <c r="J250" s="88" t="s">
        <v>24</v>
      </c>
      <c r="L250" s="19"/>
      <c r="O250" s="30"/>
      <c r="P250" s="30"/>
      <c r="Q250" s="116"/>
      <c r="V250" s="45"/>
      <c r="W250" s="117"/>
      <c r="X250" s="117"/>
      <c r="Y250" s="19"/>
    </row>
    <row r="251" spans="2:25">
      <c r="C251" s="407"/>
      <c r="D251" s="212"/>
      <c r="F251" s="407"/>
      <c r="I251" s="184"/>
      <c r="J251" s="88" t="s">
        <v>23</v>
      </c>
      <c r="K251" s="64" t="str">
        <f>CONCATENATE("selected(data('",N248,"'),'1') &amp;&amp; ",K244)</f>
        <v>selected(data('q16507_7'),'1') &amp;&amp; selected(data('q16505_7'),'1') &amp;&amp; selected(data('q16501_7'),'1')</v>
      </c>
      <c r="L251" s="19"/>
      <c r="O251" s="30"/>
      <c r="P251" s="30"/>
      <c r="Q251" s="116"/>
      <c r="Y251" s="19"/>
    </row>
    <row r="252" spans="2:25" s="45" customFormat="1" ht="45">
      <c r="B252" s="117"/>
      <c r="C252" s="117"/>
      <c r="D252" s="117"/>
      <c r="E252" s="117"/>
      <c r="F252" s="117"/>
      <c r="G252" s="118"/>
      <c r="I252" s="54"/>
      <c r="L252" s="54" t="s">
        <v>174</v>
      </c>
      <c r="M252" s="45" t="s">
        <v>206</v>
      </c>
      <c r="N252" s="45" t="str">
        <f>CONCATENATE("q",$I$21, "_",$I$30)</f>
        <v>q16508_7</v>
      </c>
      <c r="O252" s="312" t="str">
        <f>CONCATENATE(SUBSTITUTE(N252, "q",""), ". ", SUBSTITUTE($E$21, "[item]",$E$30))</f>
        <v>16508_7. من ثالث فرد من أفراد الأسرة عمل أكثر على أي مبيعات أخرى ؟</v>
      </c>
      <c r="P252" s="190" t="str">
        <f>CONCATENATE(N252, ". ", SUBSTITUTE($B$21, "[item]",$B$30))</f>
        <v>q16508_7. Who from the household work on third most on Other sales  ?</v>
      </c>
      <c r="Q252" s="117"/>
      <c r="R252" s="117"/>
      <c r="S252" s="117" t="str">
        <f>K251</f>
        <v>selected(data('q16507_7'),'1') &amp;&amp; selected(data('q16505_7'),'1') &amp;&amp; selected(data('q16501_7'),'1')</v>
      </c>
      <c r="T252" s="117"/>
      <c r="V252" s="64"/>
      <c r="W252" s="64"/>
      <c r="X252" s="64"/>
      <c r="Y252" s="45" t="b">
        <v>1</v>
      </c>
    </row>
    <row r="253" spans="2:25" s="45" customFormat="1">
      <c r="B253" s="117"/>
      <c r="C253" s="117"/>
      <c r="D253" s="117"/>
      <c r="E253" s="117"/>
      <c r="F253" s="117"/>
      <c r="G253" s="118"/>
      <c r="I253" s="54"/>
      <c r="J253" s="88" t="s">
        <v>24</v>
      </c>
      <c r="L253" s="54"/>
      <c r="O253" s="312"/>
      <c r="P253" s="190"/>
      <c r="Q253" s="117"/>
      <c r="R253" s="117"/>
      <c r="S253" s="117"/>
      <c r="T253" s="117"/>
      <c r="V253" s="64"/>
      <c r="W253" s="64"/>
      <c r="X253" s="64"/>
    </row>
    <row r="254" spans="2:25" s="45" customFormat="1">
      <c r="B254" s="117"/>
      <c r="C254" s="117"/>
      <c r="D254" s="117"/>
      <c r="E254" s="117"/>
      <c r="F254" s="117"/>
      <c r="G254" s="118"/>
      <c r="I254" s="54"/>
      <c r="J254" s="45" t="s">
        <v>20</v>
      </c>
      <c r="L254" s="54"/>
      <c r="O254" s="312"/>
      <c r="P254" s="190"/>
      <c r="Q254" s="117"/>
      <c r="R254" s="117"/>
      <c r="S254" s="117"/>
      <c r="T254" s="117"/>
    </row>
    <row r="255" spans="2:25" s="45" customFormat="1">
      <c r="B255" s="117"/>
      <c r="C255" s="117"/>
      <c r="D255" s="117"/>
      <c r="E255" s="117"/>
      <c r="F255" s="117"/>
      <c r="G255" s="118"/>
      <c r="I255" s="54"/>
      <c r="J255" s="88" t="s">
        <v>23</v>
      </c>
      <c r="K255" s="45" t="str">
        <f>K251</f>
        <v>selected(data('q16507_7'),'1') &amp;&amp; selected(data('q16505_7'),'1') &amp;&amp; selected(data('q16501_7'),'1')</v>
      </c>
      <c r="L255" s="54"/>
      <c r="O255" s="312"/>
      <c r="P255" s="190"/>
      <c r="Q255" s="117"/>
      <c r="R255" s="117"/>
      <c r="S255" s="117"/>
      <c r="T255" s="117"/>
      <c r="W255" s="117"/>
      <c r="X255" s="117"/>
    </row>
    <row r="256" spans="2:25" s="45" customFormat="1" ht="105">
      <c r="B256" s="117"/>
      <c r="C256" s="117"/>
      <c r="D256" s="117"/>
      <c r="E256" s="117"/>
      <c r="F256" s="117"/>
      <c r="G256" s="118"/>
      <c r="I256" s="54"/>
      <c r="L256" s="2" t="s">
        <v>413</v>
      </c>
      <c r="M256" s="174" t="str">
        <f>CONCATENATE("roster_line_",N252)</f>
        <v>roster_line_q16508_7</v>
      </c>
      <c r="N256" s="45" t="str">
        <f>CONCATENATE(N252, "_1")</f>
        <v>q16508_7_1</v>
      </c>
      <c r="O256" s="312"/>
      <c r="P256" s="190"/>
      <c r="Q256" s="117"/>
      <c r="R256" s="117"/>
      <c r="S256" s="117" t="str">
        <f>K251</f>
        <v>selected(data('q16507_7'),'1') &amp;&amp; selected(data('q16505_7'),'1') &amp;&amp; selected(data('q16501_7'),'1')</v>
      </c>
      <c r="T256" s="117"/>
      <c r="V256" s="31" t="str">
        <f>CONCATENATE("(data('",N237,"') != data('",N245,"') &amp;&amp; data('",N237,"') != data('",N252,"') &amp;&amp; data('",N252,"') != data('",N245,"') ) || selected(data('",N228,"'), '2') || selected(data('",N241,"'), '2') || selected(data('",N248,"'), '2') || data('valid_overall') == 0")</f>
        <v>(data('q16504_7') != data('q16506_7') &amp;&amp; data('q16504_7') != data('q16508_7') &amp;&amp; data('q16508_7') != data('q16506_7') ) || selected(data('q16501_7'), '2') || selected(data('q16505_7'), '2') || selected(data('q16507_7'), '2') || data('valid_overall') == 0</v>
      </c>
      <c r="W256" s="31" t="s">
        <v>1033</v>
      </c>
      <c r="X256" s="31" t="s">
        <v>555</v>
      </c>
      <c r="Y256" s="45" t="b">
        <v>1</v>
      </c>
    </row>
    <row r="257" spans="1:34" s="45" customFormat="1">
      <c r="B257" s="117"/>
      <c r="C257" s="117"/>
      <c r="D257" s="117"/>
      <c r="E257" s="117"/>
      <c r="F257" s="117"/>
      <c r="G257" s="118"/>
      <c r="I257" s="54"/>
      <c r="J257" s="178" t="s">
        <v>24</v>
      </c>
      <c r="L257" s="54"/>
      <c r="O257" s="312"/>
      <c r="P257" s="190"/>
      <c r="Q257" s="117"/>
      <c r="R257" s="117"/>
      <c r="S257" s="117"/>
      <c r="T257" s="117"/>
      <c r="W257" s="117"/>
      <c r="X257" s="117"/>
    </row>
    <row r="258" spans="1:34" s="183" customFormat="1" ht="26.25">
      <c r="A258" s="285"/>
      <c r="B258" s="352"/>
      <c r="C258" s="352"/>
      <c r="D258" s="352"/>
      <c r="E258" s="352"/>
      <c r="F258" s="352"/>
      <c r="G258" s="285"/>
      <c r="H258" s="285"/>
      <c r="I258" s="285"/>
      <c r="J258" s="369"/>
      <c r="K258" s="285"/>
      <c r="L258" s="63" t="s">
        <v>188</v>
      </c>
      <c r="M258" s="30" t="s">
        <v>949</v>
      </c>
      <c r="N258" s="352" t="s">
        <v>952</v>
      </c>
      <c r="O258" s="352"/>
      <c r="P258" s="352"/>
      <c r="Q258" s="285"/>
      <c r="R258" s="285"/>
      <c r="S258" s="285"/>
      <c r="T258" s="285" t="str">
        <f>CONCATENATE("(parseInt(data('", N8,"')) + parseInt(data('", N11,"')))")</f>
        <v>(parseInt(data('zcheck_emp_indiv1')) + parseInt(data('zcheck_emp_indiv2')))</v>
      </c>
      <c r="U258" s="285"/>
      <c r="V258" s="285"/>
      <c r="W258" s="285"/>
      <c r="X258" s="285"/>
      <c r="Y258" s="19" t="b">
        <v>1</v>
      </c>
    </row>
    <row r="259" spans="1:34" ht="26.25">
      <c r="A259" s="285"/>
      <c r="B259" s="352"/>
      <c r="C259" s="352"/>
      <c r="D259" s="352"/>
      <c r="E259" s="352"/>
      <c r="F259" s="352"/>
      <c r="G259" s="285"/>
      <c r="H259" s="285"/>
      <c r="I259" s="285"/>
      <c r="J259" s="369"/>
      <c r="K259" s="285"/>
      <c r="L259" s="63" t="s">
        <v>188</v>
      </c>
      <c r="M259" s="30" t="s">
        <v>950</v>
      </c>
      <c r="N259" s="352" t="s">
        <v>953</v>
      </c>
      <c r="O259" s="352"/>
      <c r="P259" s="352"/>
      <c r="Q259" s="285"/>
      <c r="R259" s="285"/>
      <c r="S259" s="285"/>
      <c r="T259" s="285" t="str">
        <f>CONCATENATE("(parseInt(data('", N9,"')) + parseInt(data('", N12,"')))")</f>
        <v>(parseInt(data('zcheck_self_indiv1')) + parseInt(data('zcheck_self_indiv2')))</v>
      </c>
      <c r="U259" s="285"/>
      <c r="V259" s="285"/>
      <c r="W259" s="285"/>
      <c r="X259" s="285"/>
      <c r="Y259" s="19" t="b">
        <v>1</v>
      </c>
    </row>
    <row r="260" spans="1:34" ht="26.25">
      <c r="A260" s="285"/>
      <c r="B260" s="352"/>
      <c r="D260" s="352"/>
      <c r="E260" s="352"/>
      <c r="G260" s="285"/>
      <c r="H260" s="285"/>
      <c r="I260" s="285"/>
      <c r="J260" s="369"/>
      <c r="K260" s="285"/>
      <c r="L260" s="63" t="s">
        <v>188</v>
      </c>
      <c r="M260" s="30" t="s">
        <v>951</v>
      </c>
      <c r="N260" s="352" t="s">
        <v>954</v>
      </c>
      <c r="O260" s="407"/>
      <c r="P260" s="407"/>
      <c r="Q260" s="285"/>
      <c r="R260" s="285"/>
      <c r="S260" s="285"/>
      <c r="T260" s="285" t="str">
        <f>CONCATENATE("(parseInt(data('", N10,"')) + parseInt(data('", N13,"')))")</f>
        <v>(parseInt(data('zcheck_ufw_indiv1')) + parseInt(data('zcheck_ufw_indiv2')))</v>
      </c>
      <c r="U260" s="285"/>
      <c r="Y260" s="19" t="b">
        <v>1</v>
      </c>
    </row>
    <row r="261" spans="1:34" ht="192">
      <c r="A261" s="285"/>
      <c r="B261" s="352" t="str">
        <f>CONCATENATE("You completed ", "{{data.",N258, "}}"," employers", "{{data.",N259, "}}"," self-employed and ",  "{{data.",N260, "}}"," unpaid family workers in the individual questionnaire. Please ensure all are captured in the enterprises ")</f>
        <v xml:space="preserve">You completed {{data.zcheck_emp_indiv}} employers{{data.zcheck_self_indiv}} self-employed and {{data.zcheck_ufw_indiv}} unpaid family workers in the individual questionnaire. Please ensure all are captured in the enterprises </v>
      </c>
      <c r="D261" s="352"/>
      <c r="E261" s="352" t="str">
        <f>CONCATENATE("لقد استكملت بيانات ", "{{data.",N258, "}}"," من أصحاب الأعمال، و", "{{data.",N259, "}}"," ممن يعملون لحسابهم، و  ",  "{{data.",N260, "}}","  ممن يعملون لدى الأسرة بدون أجر فى استمارة الأفراد. رجاء التأكد من ادراجهم جميعاً فى بيانات المشروعات. ")</f>
        <v xml:space="preserve">لقد استكملت بيانات {{data.zcheck_emp_indiv}} من أصحاب الأعمال، و{{data.zcheck_self_indiv}} ممن يعملون لحسابهم، و  {{data.zcheck_ufw_indiv}}  ممن يعملون لدى الأسرة بدون أجر فى استمارة الأفراد. رجاء التأكد من ادراجهم جميعاً فى بيانات المشروعات. </v>
      </c>
      <c r="G261" s="285"/>
      <c r="H261" s="285"/>
      <c r="I261" s="285"/>
      <c r="J261" s="369"/>
      <c r="K261" s="285"/>
      <c r="L261" s="63" t="s">
        <v>22</v>
      </c>
      <c r="M261" s="352"/>
      <c r="N261" s="352"/>
      <c r="O261" s="48" t="str">
        <f>CONCATENATE(,E261)</f>
        <v xml:space="preserve">لقد استكملت بيانات {{data.zcheck_emp_indiv}} من أصحاب الأعمال، و{{data.zcheck_self_indiv}} ممن يعملون لحسابهم، و  {{data.zcheck_ufw_indiv}}  ممن يعملون لدى الأسرة بدون أجر فى استمارة الأفراد. رجاء التأكد من ادراجهم جميعاً فى بيانات المشروعات. </v>
      </c>
      <c r="P261" s="48" t="str">
        <f>CONCATENATE(,B261)</f>
        <v xml:space="preserve">You completed {{data.zcheck_emp_indiv}} employers{{data.zcheck_self_indiv}} self-employed and {{data.zcheck_ufw_indiv}} unpaid family workers in the individual questionnaire. Please ensure all are captured in the enterprises </v>
      </c>
      <c r="Q261" s="285"/>
      <c r="R261" s="285"/>
      <c r="S261" s="285"/>
      <c r="T261" s="285"/>
      <c r="U261" s="285"/>
      <c r="Y261" s="19" t="b">
        <v>1</v>
      </c>
    </row>
    <row r="262" spans="1:34" ht="217.5">
      <c r="C262" s="407" t="str">
        <f>CONCATENATE("Constraints: ", X262)</f>
        <v>Constraints: No enterprises</v>
      </c>
      <c r="D262" s="181"/>
      <c r="F262" s="407" t="str">
        <f>CONCATENATE("Constraints: ", W262)</f>
        <v>Constraints: لا يوجد مشروعات</v>
      </c>
      <c r="L262" s="434" t="s">
        <v>18</v>
      </c>
      <c r="M262" s="71" t="s">
        <v>1594</v>
      </c>
      <c r="N262" s="64" t="s">
        <v>956</v>
      </c>
      <c r="V262" s="352" t="str">
        <f>CONCATENATE("(parseInt(data('",N258,"')) ==0 &amp;&amp; parseInt(data('",N259,"')) ==0 &amp;&amp;  parseInt(data('",N260,"')) ==0 ) || ((parseInt(data('",N258,"')) &gt;0  || parseInt(data('",N259,"')) &gt; 0 ||  parseInt(data('",N260,"')) &gt;0) &amp;&amp; ((selected(data('", N35,"'), '1')  || selected(data('",N68,"'), '1') || selected(data('",N100,"'), '1') || selected(data('",N132,"'), '1') || selected(data('",N164,"'), '1') || selected(data('",N196,"'), '1') || selected(data('",N228,"'), '1') ||  selected(data('", '16_4_Harvest_disposal_crops'!N8,"'), '1') || selected(data('", '16_2_Livestock'!N6,"'), '1')  || selected(data('",'15_1_Non_agriculture_ent'!N6,"'), '1') ) )  ) || data('valid_overall') == 0 ")</f>
        <v xml:space="preserve">(parseInt(data('zcheck_emp_indiv')) ==0 &amp;&amp; parseInt(data('zcheck_self_indiv')) ==0 &amp;&amp;  parseInt(data('zcheck_ufw_indiv')) ==0 ) || ((parseInt(data('zcheck_emp_indiv')) &gt;0  || parseInt(data('zcheck_self_indiv')) &gt; 0 ||  parseInt(data('zcheck_ufw_indiv')) &gt;0) &amp;&amp; ((selected(data('q16501_1'), '1')  || selected(data('q16501_2'), '1') || selected(data('q16501_3'), '1') || selected(data('q16501_4'), '1') || selected(data('q16501_5'), '1') || selected(data('q16501_6'), '1') || selected(data('q16501_7'), '1') ||  selected(data('q16401_1'), '1') || selected(data('q16201'), '1')  || selected(data('q15101'), '1') ) )  ) || data('valid_overall') == 0 </v>
      </c>
      <c r="W262" s="31" t="s">
        <v>1277</v>
      </c>
      <c r="X262" s="285" t="s">
        <v>955</v>
      </c>
      <c r="Y262" s="19" t="b">
        <v>1</v>
      </c>
    </row>
    <row r="263" spans="1:34" s="19" customFormat="1" ht="135">
      <c r="B263" s="31"/>
      <c r="C263" s="31"/>
      <c r="D263" s="31"/>
      <c r="E263" s="407"/>
      <c r="F263" s="407"/>
      <c r="G263" s="407"/>
      <c r="H263" s="407"/>
      <c r="I263" s="406"/>
      <c r="J263" s="16"/>
      <c r="K263" s="16"/>
      <c r="L263" s="405" t="s">
        <v>188</v>
      </c>
      <c r="N263" s="276" t="s">
        <v>1501</v>
      </c>
      <c r="O263" s="457"/>
      <c r="P263" s="457"/>
      <c r="Q263" s="458"/>
      <c r="R263" s="457"/>
      <c r="S263" s="100"/>
      <c r="T263" s="100" t="str">
        <f>CONCATENATE("(data('", N263,"') === null || data('",N263,"') === undefined) ? now() : data('",N263,"')")</f>
        <v>(data('zEnd_Date_and_Time') === null || data('zEnd_Date_and_Time') === undefined) ? now() : data('zEnd_Date_and_Time')</v>
      </c>
      <c r="Y263" s="19" t="b">
        <v>1</v>
      </c>
    </row>
    <row r="264" spans="1:34">
      <c r="D264" s="181"/>
      <c r="J264" s="49" t="s">
        <v>21</v>
      </c>
    </row>
    <row r="265" spans="1:34" s="256" customFormat="1">
      <c r="A265" s="377"/>
      <c r="B265" s="377"/>
      <c r="C265" s="377"/>
      <c r="D265" s="377"/>
      <c r="E265" s="452"/>
      <c r="F265" s="377"/>
      <c r="G265" s="377"/>
      <c r="H265" s="453"/>
      <c r="I265" s="453"/>
      <c r="J265" s="256" t="s">
        <v>20</v>
      </c>
      <c r="O265" s="257"/>
      <c r="P265" s="257"/>
      <c r="Q265" s="257"/>
      <c r="R265" s="257"/>
      <c r="S265" s="255"/>
      <c r="T265" s="255"/>
      <c r="V265" s="258"/>
      <c r="Y265" s="255"/>
    </row>
    <row r="266" spans="1:34" customFormat="1" ht="45">
      <c r="B266" t="str">
        <f>CONCATENATE("You are at the end of ",settings!$D$7)</f>
        <v>You are at the end of 0. ELMPS Field Questionnaire</v>
      </c>
      <c r="E266" s="30" t="str">
        <f>CONCATENATE("أنت في نهاية القسم الفرعى: ",settings!$C$7)</f>
        <v>أنت في نهاية القسم الفرعى: 0. بداية الاستبيان</v>
      </c>
      <c r="O266" s="407" t="str">
        <f>E266</f>
        <v>أنت في نهاية القسم الفرعى: 0. بداية الاستبيان</v>
      </c>
      <c r="P266" s="410" t="str">
        <f>B266</f>
        <v>You are at the end of 0. ELMPS Field Questionnaire</v>
      </c>
    </row>
    <row r="267" spans="1:34" s="19" customFormat="1" ht="60">
      <c r="A267" s="406"/>
      <c r="B267" s="410" t="s">
        <v>155</v>
      </c>
      <c r="C267" s="407"/>
      <c r="D267" s="407"/>
      <c r="E267" s="407" t="s">
        <v>1065</v>
      </c>
      <c r="F267" s="407"/>
      <c r="G267" s="407"/>
      <c r="H267" s="407"/>
      <c r="I267" s="406"/>
      <c r="L267" s="405" t="s">
        <v>22</v>
      </c>
      <c r="O267" s="407" t="str">
        <f>E267</f>
        <v>انهي المقابلة والنتيجة استيفاء الاستمارة كاملة</v>
      </c>
      <c r="P267" s="410" t="str">
        <f>B267</f>
        <v>End Interview and Finalize Result as Complete</v>
      </c>
      <c r="Q267" s="31"/>
      <c r="R267" s="31"/>
      <c r="S267" s="31"/>
      <c r="Y267" s="19" t="b">
        <v>1</v>
      </c>
      <c r="AD267" s="16"/>
      <c r="AF267" s="55"/>
      <c r="AG267" s="55"/>
      <c r="AH267" s="55"/>
    </row>
    <row r="268" spans="1:34" s="19" customFormat="1">
      <c r="A268" s="406"/>
      <c r="B268" s="410"/>
      <c r="C268" s="407"/>
      <c r="D268" s="407"/>
      <c r="E268" s="407"/>
      <c r="F268" s="407"/>
      <c r="G268" s="407"/>
      <c r="H268" s="407"/>
      <c r="I268" s="406"/>
      <c r="J268" s="19" t="s">
        <v>21</v>
      </c>
      <c r="L268" s="405"/>
      <c r="O268" s="407"/>
      <c r="P268" s="410"/>
      <c r="Q268" s="31"/>
      <c r="R268" s="31"/>
      <c r="S268" s="31"/>
      <c r="Y268" s="16"/>
      <c r="AD268" s="16"/>
      <c r="AF268" s="55"/>
      <c r="AG268" s="55"/>
      <c r="AH268" s="55"/>
    </row>
    <row r="269" spans="1:34" s="19" customFormat="1">
      <c r="A269" s="406"/>
      <c r="B269" s="410" t="s">
        <v>157</v>
      </c>
      <c r="C269" s="407"/>
      <c r="D269" s="407"/>
      <c r="E269" s="407" t="s">
        <v>1066</v>
      </c>
      <c r="F269" s="407"/>
      <c r="G269" s="407"/>
      <c r="H269" s="407"/>
      <c r="I269" s="406"/>
      <c r="L269" s="405" t="s">
        <v>156</v>
      </c>
      <c r="O269" s="407" t="str">
        <f>E269</f>
        <v>حفظ الاستمارة</v>
      </c>
      <c r="P269" s="410" t="str">
        <f>B269</f>
        <v>Save form</v>
      </c>
      <c r="Q269" s="31"/>
      <c r="R269" s="31"/>
      <c r="S269" s="31"/>
      <c r="Y269" s="19" t="b">
        <v>1</v>
      </c>
      <c r="AC269" s="16"/>
      <c r="AF269" s="56"/>
      <c r="AG269" s="56"/>
      <c r="AH269" s="56"/>
    </row>
    <row r="270" spans="1:34">
      <c r="D270" s="181"/>
    </row>
    <row r="271" spans="1:34">
      <c r="D271" s="181"/>
    </row>
    <row r="272" spans="1:34">
      <c r="D272" s="181"/>
    </row>
    <row r="273" spans="4:4">
      <c r="D273" s="181"/>
    </row>
    <row r="274" spans="4:4">
      <c r="D274" s="181"/>
    </row>
    <row r="275" spans="4:4">
      <c r="D275" s="181"/>
    </row>
    <row r="276" spans="4:4">
      <c r="D276" s="181"/>
    </row>
    <row r="277" spans="4:4" ht="12" customHeight="1">
      <c r="D277" s="181"/>
    </row>
    <row r="278" spans="4:4" ht="12" customHeight="1">
      <c r="D278" s="181"/>
    </row>
    <row r="279" spans="4:4">
      <c r="D279" s="181"/>
    </row>
    <row r="280" spans="4:4">
      <c r="D280" s="181"/>
    </row>
    <row r="281" spans="4:4">
      <c r="D281" s="181"/>
    </row>
    <row r="282" spans="4:4">
      <c r="D282" s="181"/>
    </row>
    <row r="283" spans="4:4">
      <c r="D283" s="181"/>
    </row>
    <row r="284" spans="4:4">
      <c r="D284" s="181"/>
    </row>
    <row r="285" spans="4:4">
      <c r="D285" s="181"/>
    </row>
    <row r="286" spans="4:4">
      <c r="D286" s="181"/>
    </row>
    <row r="287" spans="4:4">
      <c r="D287" s="181"/>
    </row>
    <row r="288" spans="4:4">
      <c r="D288" s="181"/>
    </row>
    <row r="289" spans="4:4">
      <c r="D289" s="181"/>
    </row>
    <row r="290" spans="4:4">
      <c r="D290" s="181"/>
    </row>
    <row r="291" spans="4:4">
      <c r="D291" s="181"/>
    </row>
    <row r="292" spans="4:4">
      <c r="D292" s="181"/>
    </row>
    <row r="293" spans="4:4">
      <c r="D293" s="181"/>
    </row>
    <row r="294" spans="4:4">
      <c r="D294" s="181"/>
    </row>
    <row r="295" spans="4:4">
      <c r="D295" s="181"/>
    </row>
    <row r="296" spans="4:4">
      <c r="D296" s="181"/>
    </row>
    <row r="297" spans="4:4">
      <c r="D297" s="181"/>
    </row>
    <row r="298" spans="4:4">
      <c r="D298" s="181"/>
    </row>
    <row r="299" spans="4:4">
      <c r="D299" s="181"/>
    </row>
    <row r="300" spans="4:4">
      <c r="D300" s="181"/>
    </row>
    <row r="301" spans="4:4">
      <c r="D301" s="181"/>
    </row>
    <row r="302" spans="4:4">
      <c r="D302" s="181"/>
    </row>
    <row r="303" spans="4:4" ht="17.25" customHeight="1">
      <c r="D303" s="181"/>
    </row>
    <row r="304" spans="4:4">
      <c r="D304" s="181"/>
    </row>
    <row r="305" spans="4:4">
      <c r="D305" s="181"/>
    </row>
    <row r="306" spans="4:4" ht="17.25" customHeight="1">
      <c r="D306" s="181"/>
    </row>
    <row r="307" spans="4:4" ht="17.25" customHeight="1">
      <c r="D307" s="181"/>
    </row>
    <row r="308" spans="4:4" ht="17.25" customHeight="1">
      <c r="D308" s="181"/>
    </row>
    <row r="309" spans="4:4">
      <c r="D309" s="181"/>
    </row>
    <row r="310" spans="4:4">
      <c r="D310" s="181"/>
    </row>
    <row r="311" spans="4:4">
      <c r="D311" s="181"/>
    </row>
    <row r="312" spans="4:4">
      <c r="D312" s="181"/>
    </row>
    <row r="313" spans="4:4">
      <c r="D313" s="181"/>
    </row>
    <row r="314" spans="4:4">
      <c r="D314" s="181"/>
    </row>
    <row r="315" spans="4:4">
      <c r="D315" s="181"/>
    </row>
    <row r="316" spans="4:4">
      <c r="D316" s="181"/>
    </row>
    <row r="317" spans="4:4">
      <c r="D317" s="181"/>
    </row>
    <row r="318" spans="4:4">
      <c r="D318" s="181"/>
    </row>
    <row r="319" spans="4:4">
      <c r="D319" s="181"/>
    </row>
    <row r="320" spans="4:4">
      <c r="D320" s="181"/>
    </row>
    <row r="321" spans="4:4">
      <c r="D321" s="181"/>
    </row>
    <row r="322" spans="4:4">
      <c r="D322" s="181"/>
    </row>
    <row r="323" spans="4:4">
      <c r="D323" s="181"/>
    </row>
    <row r="324" spans="4:4">
      <c r="D324" s="181"/>
    </row>
    <row r="325" spans="4:4">
      <c r="D325" s="181"/>
    </row>
    <row r="326" spans="4:4">
      <c r="D326" s="181"/>
    </row>
    <row r="327" spans="4:4">
      <c r="D327" s="181"/>
    </row>
    <row r="328" spans="4:4">
      <c r="D328" s="181"/>
    </row>
    <row r="329" spans="4:4">
      <c r="D329" s="181"/>
    </row>
    <row r="330" spans="4:4">
      <c r="D330" s="181"/>
    </row>
    <row r="331" spans="4:4">
      <c r="D331" s="181"/>
    </row>
    <row r="332" spans="4:4">
      <c r="D332" s="181"/>
    </row>
    <row r="333" spans="4:4">
      <c r="D333" s="181"/>
    </row>
    <row r="334" spans="4:4">
      <c r="D334" s="181"/>
    </row>
    <row r="335" spans="4:4">
      <c r="D335" s="181"/>
    </row>
    <row r="336" spans="4:4">
      <c r="D336" s="181"/>
    </row>
    <row r="337" spans="4:4">
      <c r="D337" s="181"/>
    </row>
    <row r="338" spans="4:4">
      <c r="D338" s="181"/>
    </row>
    <row r="339" spans="4:4">
      <c r="D339" s="181"/>
    </row>
    <row r="340" spans="4:4">
      <c r="D340" s="181"/>
    </row>
    <row r="341" spans="4:4">
      <c r="D341" s="181"/>
    </row>
    <row r="342" spans="4:4">
      <c r="D342" s="181"/>
    </row>
    <row r="343" spans="4:4">
      <c r="D343" s="181"/>
    </row>
    <row r="344" spans="4:4">
      <c r="D344" s="181"/>
    </row>
    <row r="345" spans="4:4">
      <c r="D345" s="181"/>
    </row>
    <row r="346" spans="4:4">
      <c r="D346" s="181"/>
    </row>
    <row r="347" spans="4:4">
      <c r="D347" s="181"/>
    </row>
    <row r="348" spans="4:4">
      <c r="D348" s="181"/>
    </row>
    <row r="349" spans="4:4">
      <c r="D349" s="181"/>
    </row>
    <row r="350" spans="4:4">
      <c r="D350" s="181"/>
    </row>
    <row r="351" spans="4:4">
      <c r="D351" s="181"/>
    </row>
    <row r="352" spans="4:4">
      <c r="D352" s="181"/>
    </row>
    <row r="353" spans="4:4">
      <c r="D353" s="181"/>
    </row>
    <row r="354" spans="4:4">
      <c r="D354" s="181"/>
    </row>
    <row r="355" spans="4:4">
      <c r="D355" s="181"/>
    </row>
    <row r="356" spans="4:4">
      <c r="D356" s="181"/>
    </row>
    <row r="357" spans="4:4">
      <c r="D357" s="181"/>
    </row>
    <row r="358" spans="4:4">
      <c r="D358" s="181"/>
    </row>
    <row r="359" spans="4:4">
      <c r="D359" s="181"/>
    </row>
    <row r="360" spans="4:4">
      <c r="D360" s="181"/>
    </row>
    <row r="361" spans="4:4">
      <c r="D361" s="181"/>
    </row>
    <row r="362" spans="4:4">
      <c r="D362" s="181"/>
    </row>
    <row r="363" spans="4:4">
      <c r="D363" s="181"/>
    </row>
    <row r="364" spans="4:4">
      <c r="D364" s="181"/>
    </row>
    <row r="365" spans="4:4">
      <c r="D365" s="181"/>
    </row>
    <row r="366" spans="4:4">
      <c r="D366" s="181"/>
    </row>
    <row r="367" spans="4:4">
      <c r="D367" s="181"/>
    </row>
    <row r="368" spans="4:4">
      <c r="D368" s="181"/>
    </row>
    <row r="369" spans="4:4">
      <c r="D369" s="181"/>
    </row>
    <row r="370" spans="4:4">
      <c r="D370" s="181"/>
    </row>
    <row r="371" spans="4:4">
      <c r="D371" s="181"/>
    </row>
    <row r="372" spans="4:4">
      <c r="D372" s="181"/>
    </row>
    <row r="373" spans="4:4">
      <c r="D373" s="181"/>
    </row>
    <row r="374" spans="4:4">
      <c r="D374" s="181"/>
    </row>
    <row r="375" spans="4:4">
      <c r="D375" s="181"/>
    </row>
    <row r="376" spans="4:4">
      <c r="D376" s="181"/>
    </row>
    <row r="377" spans="4:4">
      <c r="D377" s="181"/>
    </row>
    <row r="378" spans="4:4" ht="15" customHeight="1">
      <c r="D378" s="181"/>
    </row>
    <row r="379" spans="4:4" ht="15" customHeight="1">
      <c r="D379" s="181"/>
    </row>
    <row r="380" spans="4:4">
      <c r="D380" s="181"/>
    </row>
    <row r="381" spans="4:4">
      <c r="D381" s="181"/>
    </row>
    <row r="382" spans="4:4">
      <c r="D382" s="181"/>
    </row>
    <row r="383" spans="4:4">
      <c r="D383" s="181"/>
    </row>
    <row r="384" spans="4:4">
      <c r="D384" s="181"/>
    </row>
    <row r="385" spans="3:6">
      <c r="D385" s="181"/>
    </row>
    <row r="386" spans="3:6" ht="12" customHeight="1">
      <c r="D386" s="181"/>
    </row>
    <row r="387" spans="3:6" ht="13.5" customHeight="1">
      <c r="D387" s="181"/>
    </row>
    <row r="391" spans="3:6">
      <c r="C391" s="48"/>
      <c r="D391" s="127"/>
      <c r="E391" s="48"/>
      <c r="F391" s="48"/>
    </row>
    <row r="394" spans="3:6">
      <c r="C394" s="48"/>
      <c r="D394" s="31"/>
      <c r="E394" s="63"/>
      <c r="F394" s="48"/>
    </row>
    <row r="396" spans="3:6">
      <c r="E396" s="48"/>
    </row>
    <row r="397" spans="3:6">
      <c r="E397" s="30"/>
    </row>
    <row r="398" spans="3:6">
      <c r="E398" s="30"/>
    </row>
    <row r="399" spans="3:6">
      <c r="E399" s="30"/>
    </row>
    <row r="400" spans="3:6">
      <c r="E400" s="48"/>
    </row>
    <row r="401" spans="5:5">
      <c r="E401" s="30"/>
    </row>
    <row r="402" spans="5:5">
      <c r="E402" s="30"/>
    </row>
    <row r="403" spans="5:5">
      <c r="E403" s="30"/>
    </row>
    <row r="404" spans="5:5">
      <c r="E404" s="30"/>
    </row>
    <row r="405" spans="5:5">
      <c r="E405" s="30"/>
    </row>
    <row r="406" spans="5:5">
      <c r="E406" s="48"/>
    </row>
    <row r="407" spans="5:5">
      <c r="E407" s="30"/>
    </row>
    <row r="408" spans="5:5">
      <c r="E408" s="30"/>
    </row>
    <row r="409" spans="5:5">
      <c r="E409" s="30"/>
    </row>
    <row r="410" spans="5:5">
      <c r="E410" s="30"/>
    </row>
    <row r="411" spans="5:5">
      <c r="E411" s="30"/>
    </row>
    <row r="412" spans="5:5">
      <c r="E412" s="48"/>
    </row>
    <row r="413" spans="5:5">
      <c r="E413" s="30"/>
    </row>
    <row r="414" spans="5:5">
      <c r="E414" s="30"/>
    </row>
    <row r="415" spans="5:5">
      <c r="E415" s="30"/>
    </row>
    <row r="416" spans="5:5">
      <c r="E416" s="30"/>
    </row>
    <row r="417" spans="5:5">
      <c r="E417" s="30"/>
    </row>
    <row r="418" spans="5:5">
      <c r="E418" s="48"/>
    </row>
    <row r="419" spans="5:5">
      <c r="E419" s="30"/>
    </row>
    <row r="420" spans="5:5">
      <c r="E420" s="30"/>
    </row>
    <row r="421" spans="5:5">
      <c r="E421" s="30"/>
    </row>
    <row r="422" spans="5:5">
      <c r="E422" s="30"/>
    </row>
    <row r="423" spans="5:5">
      <c r="E423" s="30"/>
    </row>
    <row r="424" spans="5:5">
      <c r="E424" s="48"/>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2"/>
  <sheetViews>
    <sheetView workbookViewId="0">
      <pane ySplit="1" topLeftCell="A86" activePane="bottomLeft" state="frozen"/>
      <selection pane="bottomLeft" activeCell="A93" sqref="A93:XFD93"/>
    </sheetView>
  </sheetViews>
  <sheetFormatPr defaultColWidth="8.85546875" defaultRowHeight="15" customHeight="1"/>
  <cols>
    <col min="1" max="1" width="33.7109375" style="9" customWidth="1"/>
    <col min="2" max="2" width="12.140625" style="9" bestFit="1" customWidth="1"/>
    <col min="3" max="3" width="12.42578125" style="9" bestFit="1" customWidth="1"/>
    <col min="4" max="4" width="31.42578125" style="9" customWidth="1"/>
    <col min="5" max="5" width="19.42578125" style="9" bestFit="1" customWidth="1"/>
    <col min="6" max="6" width="15" style="9" bestFit="1" customWidth="1"/>
    <col min="7" max="7" width="35" style="30" bestFit="1" customWidth="1"/>
    <col min="8" max="8" width="30.85546875" style="9" bestFit="1" customWidth="1"/>
    <col min="9" max="9" width="64.42578125" style="9" bestFit="1" customWidth="1"/>
    <col min="10" max="10" width="36.42578125" style="30" bestFit="1" customWidth="1"/>
    <col min="11" max="11" width="8.85546875" style="9"/>
    <col min="12" max="12" width="11.42578125" style="9" customWidth="1"/>
    <col min="13" max="13" width="13.140625" style="404" bestFit="1" customWidth="1"/>
    <col min="14" max="14" width="21.42578125" style="9" bestFit="1" customWidth="1"/>
    <col min="15" max="15" width="10.28515625" style="9" bestFit="1" customWidth="1"/>
    <col min="16" max="16384" width="8.85546875" style="9"/>
  </cols>
  <sheetData>
    <row r="1" spans="1:15" s="108" customFormat="1" ht="15" customHeight="1">
      <c r="A1" s="108" t="s">
        <v>52</v>
      </c>
      <c r="B1" s="108" t="s">
        <v>53</v>
      </c>
      <c r="C1" s="108" t="s">
        <v>54</v>
      </c>
      <c r="D1" s="108" t="s">
        <v>55</v>
      </c>
      <c r="E1" s="109" t="s">
        <v>56</v>
      </c>
      <c r="F1" s="109" t="s">
        <v>57</v>
      </c>
      <c r="G1" s="109" t="s">
        <v>58</v>
      </c>
      <c r="H1" s="109" t="s">
        <v>59</v>
      </c>
      <c r="I1" s="109" t="s">
        <v>5</v>
      </c>
      <c r="J1" s="374" t="s">
        <v>1290</v>
      </c>
      <c r="K1" s="9" t="s">
        <v>1292</v>
      </c>
      <c r="L1" s="161" t="s">
        <v>378</v>
      </c>
      <c r="M1" s="161" t="s">
        <v>1529</v>
      </c>
      <c r="N1" s="161" t="s">
        <v>374</v>
      </c>
      <c r="O1" s="375" t="s">
        <v>5</v>
      </c>
    </row>
    <row r="2" spans="1:15" ht="15" customHeight="1">
      <c r="A2" s="9" t="s">
        <v>203</v>
      </c>
      <c r="B2" s="9" t="s">
        <v>60</v>
      </c>
      <c r="E2" s="9" t="s">
        <v>202</v>
      </c>
      <c r="F2" s="9" t="s">
        <v>202</v>
      </c>
      <c r="G2" s="30" t="s">
        <v>199</v>
      </c>
      <c r="H2" s="9" t="s">
        <v>200</v>
      </c>
      <c r="I2" s="9" t="s">
        <v>201</v>
      </c>
      <c r="J2" s="396" t="s">
        <v>1293</v>
      </c>
      <c r="K2" s="397" t="s">
        <v>1291</v>
      </c>
      <c r="M2" s="404" t="s">
        <v>1530</v>
      </c>
    </row>
    <row r="3" spans="1:15" s="18" customFormat="1" ht="15" customHeight="1">
      <c r="A3" s="8" t="s">
        <v>206</v>
      </c>
      <c r="B3" s="18" t="s">
        <v>60</v>
      </c>
      <c r="E3" s="9" t="s">
        <v>147</v>
      </c>
      <c r="F3" s="9" t="s">
        <v>147</v>
      </c>
      <c r="G3" s="30" t="s">
        <v>199</v>
      </c>
      <c r="H3" s="9" t="s">
        <v>200</v>
      </c>
      <c r="I3" s="141" t="str">
        <f>"'q100='+opendatakit.encodeURIDataElement('q100')+'&amp;q10='+opendatakit.encodeURIDataElement('q10')"</f>
        <v>'q100='+opendatakit.encodeURIDataElement('q100')+'&amp;q10='+opendatakit.encodeURIDataElement('q10')</v>
      </c>
      <c r="J3" s="396" t="s">
        <v>1324</v>
      </c>
      <c r="K3" s="397" t="s">
        <v>1291</v>
      </c>
      <c r="L3" s="9"/>
      <c r="M3" s="472" t="s">
        <v>1531</v>
      </c>
      <c r="N3" s="9"/>
      <c r="O3" s="9"/>
    </row>
    <row r="4" spans="1:15" s="18" customFormat="1" ht="15" customHeight="1">
      <c r="A4" s="8" t="s">
        <v>146</v>
      </c>
      <c r="B4" s="18" t="s">
        <v>60</v>
      </c>
      <c r="E4" s="18" t="s">
        <v>207</v>
      </c>
      <c r="F4" s="9" t="s">
        <v>147</v>
      </c>
      <c r="G4" s="145" t="s">
        <v>199</v>
      </c>
      <c r="H4" s="9" t="s">
        <v>200</v>
      </c>
      <c r="I4" s="9" t="s">
        <v>201</v>
      </c>
      <c r="J4" s="398" t="s">
        <v>1291</v>
      </c>
      <c r="K4" s="397" t="s">
        <v>1291</v>
      </c>
      <c r="M4" s="404" t="s">
        <v>1531</v>
      </c>
      <c r="N4" s="300"/>
    </row>
    <row r="5" spans="1:15" s="18" customFormat="1" ht="15" customHeight="1">
      <c r="A5" s="8" t="s">
        <v>209</v>
      </c>
      <c r="B5" s="18" t="s">
        <v>60</v>
      </c>
      <c r="E5" s="9" t="s">
        <v>208</v>
      </c>
      <c r="F5" s="9" t="s">
        <v>208</v>
      </c>
      <c r="G5" s="30" t="s">
        <v>199</v>
      </c>
      <c r="H5" s="9" t="s">
        <v>200</v>
      </c>
      <c r="I5" s="9" t="s">
        <v>201</v>
      </c>
      <c r="J5" s="396" t="s">
        <v>1293</v>
      </c>
      <c r="K5" s="397" t="s">
        <v>1291</v>
      </c>
    </row>
    <row r="6" spans="1:15" s="18" customFormat="1" ht="15" customHeight="1">
      <c r="A6" s="8" t="s">
        <v>796</v>
      </c>
      <c r="B6" s="18" t="s">
        <v>60</v>
      </c>
      <c r="E6" s="18" t="s">
        <v>795</v>
      </c>
      <c r="F6" s="9" t="s">
        <v>147</v>
      </c>
      <c r="G6" s="30" t="str">
        <f>CONCATENATE("q100 = ? and q306 &gt;= ? ")</f>
        <v xml:space="preserve">q100 = ? and q306 &gt;= ? </v>
      </c>
      <c r="H6" s="142" t="str">
        <f>CONCATENATE("[ data('q100') , '6' ]")</f>
        <v>[ data('q100') , '6' ]</v>
      </c>
      <c r="I6" s="9" t="s">
        <v>201</v>
      </c>
      <c r="J6" s="398" t="s">
        <v>1291</v>
      </c>
      <c r="K6" s="397" t="s">
        <v>1291</v>
      </c>
      <c r="M6" s="404" t="s">
        <v>1531</v>
      </c>
      <c r="N6" s="300"/>
    </row>
    <row r="7" spans="1:15" s="18" customFormat="1" ht="15" customHeight="1">
      <c r="A7" s="8"/>
      <c r="G7" s="145"/>
      <c r="H7" s="9"/>
      <c r="I7" s="9"/>
      <c r="J7" s="30"/>
    </row>
    <row r="8" spans="1:15" s="19" customFormat="1">
      <c r="A8" s="14" t="s">
        <v>175</v>
      </c>
      <c r="B8" s="14" t="s">
        <v>181</v>
      </c>
      <c r="C8" s="14" t="s">
        <v>182</v>
      </c>
      <c r="D8" s="14" t="s">
        <v>1326</v>
      </c>
      <c r="E8" s="14"/>
      <c r="F8" s="14"/>
      <c r="G8" s="14"/>
      <c r="H8" s="14"/>
      <c r="I8" s="14"/>
      <c r="J8" s="14"/>
      <c r="K8" s="14"/>
      <c r="L8" s="14"/>
    </row>
    <row r="9" spans="1:15" s="19" customFormat="1">
      <c r="A9" s="14" t="s">
        <v>177</v>
      </c>
      <c r="B9" s="14" t="s">
        <v>181</v>
      </c>
      <c r="C9" s="14" t="s">
        <v>182</v>
      </c>
      <c r="D9" s="14" t="s">
        <v>1327</v>
      </c>
      <c r="E9" s="14"/>
      <c r="F9" s="14"/>
      <c r="G9" s="14"/>
      <c r="H9" s="14"/>
      <c r="I9" s="14"/>
      <c r="J9" s="14"/>
      <c r="K9" s="14"/>
      <c r="L9" s="14"/>
    </row>
    <row r="10" spans="1:15" s="19" customFormat="1">
      <c r="A10" s="14" t="s">
        <v>178</v>
      </c>
      <c r="B10" s="14" t="s">
        <v>181</v>
      </c>
      <c r="C10" s="14" t="s">
        <v>182</v>
      </c>
      <c r="D10" s="14" t="s">
        <v>1328</v>
      </c>
      <c r="E10" s="14"/>
      <c r="F10" s="14"/>
      <c r="G10" s="14"/>
      <c r="H10" s="14"/>
      <c r="I10" s="14"/>
      <c r="J10" s="14"/>
      <c r="K10" s="14"/>
      <c r="L10" s="14"/>
    </row>
    <row r="11" spans="1:15" s="19" customFormat="1">
      <c r="A11" s="14"/>
      <c r="B11" s="14"/>
      <c r="C11" s="14"/>
      <c r="D11" s="14"/>
      <c r="E11" s="14"/>
      <c r="F11" s="14"/>
      <c r="G11" s="14"/>
      <c r="H11" s="14"/>
      <c r="I11" s="14"/>
      <c r="J11" s="14"/>
      <c r="K11" s="14"/>
      <c r="L11" s="14"/>
    </row>
    <row r="12" spans="1:15" s="18" customFormat="1" ht="15.75">
      <c r="A12" s="12" t="s">
        <v>1341</v>
      </c>
      <c r="B12" s="12" t="s">
        <v>181</v>
      </c>
      <c r="C12" s="12" t="s">
        <v>184</v>
      </c>
      <c r="D12" s="14" t="s">
        <v>1342</v>
      </c>
      <c r="E12" s="12"/>
      <c r="F12" s="12"/>
      <c r="G12" s="12"/>
      <c r="H12" s="12"/>
      <c r="I12" s="399" t="s">
        <v>379</v>
      </c>
      <c r="J12" s="431" t="s">
        <v>1291</v>
      </c>
      <c r="K12" s="431" t="s">
        <v>1291</v>
      </c>
      <c r="L12" s="12"/>
    </row>
    <row r="13" spans="1:15" s="18" customFormat="1" ht="15.75">
      <c r="A13" s="12" t="s">
        <v>183</v>
      </c>
      <c r="B13" s="12" t="s">
        <v>181</v>
      </c>
      <c r="C13" s="12" t="s">
        <v>184</v>
      </c>
      <c r="D13" s="14" t="s">
        <v>1343</v>
      </c>
      <c r="E13" s="12"/>
      <c r="F13" s="12"/>
      <c r="G13" s="12"/>
      <c r="H13" s="12"/>
      <c r="I13" s="399" t="s">
        <v>379</v>
      </c>
      <c r="J13" s="431" t="s">
        <v>1291</v>
      </c>
      <c r="K13" s="431" t="s">
        <v>1291</v>
      </c>
      <c r="L13" s="12"/>
    </row>
    <row r="14" spans="1:15" s="18" customFormat="1" ht="15.75">
      <c r="A14" s="12"/>
      <c r="B14" s="12"/>
      <c r="C14" s="12"/>
      <c r="D14" s="14"/>
      <c r="E14" s="12"/>
      <c r="F14" s="12"/>
      <c r="G14" s="12"/>
      <c r="H14" s="12"/>
      <c r="I14" s="399"/>
      <c r="J14" s="431"/>
      <c r="K14" s="431"/>
      <c r="L14" s="12"/>
    </row>
    <row r="15" spans="1:15" s="30" customFormat="1">
      <c r="A15" s="30" t="s">
        <v>377</v>
      </c>
      <c r="B15" s="30" t="s">
        <v>60</v>
      </c>
      <c r="E15" s="142" t="s">
        <v>202</v>
      </c>
      <c r="F15" s="142" t="s">
        <v>202</v>
      </c>
      <c r="G15" s="30" t="str">
        <f>CONCATENATE("q100 = ? and _savepoint_type = ?")</f>
        <v>q100 = ? and _savepoint_type = ?</v>
      </c>
      <c r="H15" s="142" t="str">
        <f>CONCATENATE("[ data('q100') , 'COMPLETE' ]")</f>
        <v>[ data('q100') , 'COMPLETE' ]</v>
      </c>
      <c r="I15" s="143" t="s">
        <v>379</v>
      </c>
      <c r="J15" s="398" t="s">
        <v>1291</v>
      </c>
      <c r="K15" s="398" t="s">
        <v>1291</v>
      </c>
    </row>
    <row r="16" spans="1:15" s="30" customFormat="1" ht="15" customHeight="1">
      <c r="A16" s="30" t="s">
        <v>382</v>
      </c>
      <c r="B16" s="30" t="s">
        <v>60</v>
      </c>
      <c r="E16" s="142" t="s">
        <v>202</v>
      </c>
      <c r="F16" s="142" t="s">
        <v>202</v>
      </c>
      <c r="G16" s="30" t="str">
        <f>CONCATENATE("q100 = ? and q206 = ?")</f>
        <v>q100 = ? and q206 = ?</v>
      </c>
      <c r="H16" s="142" t="str">
        <f>CONCATENATE("[ data('q100') , '1' ]")</f>
        <v>[ data('q100') , '1' ]</v>
      </c>
      <c r="I16" s="143" t="s">
        <v>379</v>
      </c>
      <c r="J16" s="398" t="s">
        <v>1291</v>
      </c>
      <c r="K16" s="398" t="s">
        <v>1291</v>
      </c>
    </row>
    <row r="17" spans="1:15" s="30" customFormat="1" ht="15" customHeight="1">
      <c r="A17" s="30" t="s">
        <v>388</v>
      </c>
      <c r="B17" s="30" t="s">
        <v>60</v>
      </c>
      <c r="E17" s="9" t="s">
        <v>147</v>
      </c>
      <c r="F17" s="9" t="s">
        <v>147</v>
      </c>
      <c r="G17" s="30" t="str">
        <f>CONCATENATE("q100 = ? and _savepoint_type = ?")</f>
        <v>q100 = ? and _savepoint_type = ?</v>
      </c>
      <c r="H17" s="142" t="str">
        <f>CONCATENATE("[ data('q100') , 'COMPLETE' ]")</f>
        <v>[ data('q100') , 'COMPLETE' ]</v>
      </c>
      <c r="I17" s="143" t="s">
        <v>379</v>
      </c>
      <c r="J17" s="398" t="s">
        <v>1291</v>
      </c>
      <c r="K17" s="398" t="s">
        <v>1291</v>
      </c>
    </row>
    <row r="18" spans="1:15" s="30" customFormat="1" ht="15" customHeight="1">
      <c r="A18" s="30" t="s">
        <v>415</v>
      </c>
      <c r="B18" s="30" t="s">
        <v>60</v>
      </c>
      <c r="E18" s="18" t="s">
        <v>207</v>
      </c>
      <c r="F18" s="9" t="s">
        <v>147</v>
      </c>
      <c r="G18" s="30" t="str">
        <f>CONCATENATE("q100 = ? and enter = ?")</f>
        <v>q100 = ? and enter = ?</v>
      </c>
      <c r="H18" s="142" t="str">
        <f>CONCATENATE("[ data('q100') , '1' ]")</f>
        <v>[ data('q100') , '1' ]</v>
      </c>
      <c r="I18" s="143" t="s">
        <v>379</v>
      </c>
      <c r="J18" s="398" t="s">
        <v>1291</v>
      </c>
      <c r="K18" s="398" t="s">
        <v>1291</v>
      </c>
    </row>
    <row r="19" spans="1:15" s="30" customFormat="1" ht="15" customHeight="1">
      <c r="A19" s="30" t="s">
        <v>416</v>
      </c>
      <c r="B19" s="30" t="s">
        <v>60</v>
      </c>
      <c r="E19" s="18" t="s">
        <v>207</v>
      </c>
      <c r="F19" s="9" t="s">
        <v>147</v>
      </c>
      <c r="G19" s="30" t="str">
        <f>CONCATENATE("q100 = ? and _savepoint_type = ?")</f>
        <v>q100 = ? and _savepoint_type = ?</v>
      </c>
      <c r="H19" s="142" t="str">
        <f>CONCATENATE("[ data('q100') , 'COMPLETE' ]")</f>
        <v>[ data('q100') , 'COMPLETE' ]</v>
      </c>
      <c r="I19" s="143" t="s">
        <v>379</v>
      </c>
      <c r="J19" s="398" t="s">
        <v>1291</v>
      </c>
      <c r="K19" s="398" t="s">
        <v>1291</v>
      </c>
    </row>
    <row r="20" spans="1:15" s="30" customFormat="1" ht="15" customHeight="1">
      <c r="E20" s="9"/>
      <c r="F20" s="9"/>
      <c r="I20" s="143"/>
    </row>
    <row r="21" spans="1:15" ht="15" customHeight="1">
      <c r="A21" s="18" t="str">
        <f>CONCATENATE("roster_2012_",O21)</f>
        <v>roster_2012_1</v>
      </c>
      <c r="B21" s="30" t="s">
        <v>60</v>
      </c>
      <c r="E21" s="142" t="s">
        <v>202</v>
      </c>
      <c r="F21" s="142" t="s">
        <v>202</v>
      </c>
      <c r="G21" s="30" t="str">
        <f>CONCATENATE("q100 = ? and q206 = ? and q201 = ? ")</f>
        <v xml:space="preserve">q100 = ? and q206 = ? and q201 = ? </v>
      </c>
      <c r="H21" s="9" t="str">
        <f>CONCATENATE("[ data('q100') , '1' , '",O21,"' ]")</f>
        <v>[ data('q100') , '1' , '1' ]</v>
      </c>
      <c r="I21" s="143" t="s">
        <v>379</v>
      </c>
      <c r="J21" s="398" t="s">
        <v>1291</v>
      </c>
      <c r="K21" s="398" t="s">
        <v>1291</v>
      </c>
      <c r="O21" s="9">
        <v>1</v>
      </c>
    </row>
    <row r="22" spans="1:15" ht="15" customHeight="1">
      <c r="A22" s="18" t="str">
        <f>CONCATENATE("roster_2018_",O22)</f>
        <v>roster_2018_1</v>
      </c>
      <c r="B22" s="30" t="s">
        <v>60</v>
      </c>
      <c r="E22" s="9" t="s">
        <v>147</v>
      </c>
      <c r="F22" s="9" t="s">
        <v>147</v>
      </c>
      <c r="G22" s="30" t="str">
        <f>CONCATENATE("q100 = ? and q308_1_1 = ? and q308 = ?")</f>
        <v>q100 = ? and q308_1_1 = ? and q308 = ?</v>
      </c>
      <c r="H22" s="9" t="str">
        <f>CONCATENATE("[ data('q100') , '",O22,"',  '1' ]")</f>
        <v>[ data('q100') , '1',  '1' ]</v>
      </c>
      <c r="I22" s="143" t="s">
        <v>379</v>
      </c>
      <c r="J22" s="398" t="s">
        <v>1291</v>
      </c>
      <c r="K22" s="398" t="s">
        <v>1291</v>
      </c>
      <c r="O22" s="9">
        <v>1</v>
      </c>
    </row>
    <row r="23" spans="1:15" ht="15" customHeight="1">
      <c r="A23" s="18" t="str">
        <f>CONCATENATE("roster_2012_",O23)</f>
        <v>roster_2012_2</v>
      </c>
      <c r="B23" s="30" t="s">
        <v>60</v>
      </c>
      <c r="E23" s="142" t="s">
        <v>202</v>
      </c>
      <c r="F23" s="142" t="s">
        <v>202</v>
      </c>
      <c r="G23" s="30" t="str">
        <f>CONCATENATE("q100 = ? and q206 = ? and q201 = ? ")</f>
        <v xml:space="preserve">q100 = ? and q206 = ? and q201 = ? </v>
      </c>
      <c r="H23" s="9" t="str">
        <f>CONCATENATE("[ data('q100') , '1' , '",O23,"' ]")</f>
        <v>[ data('q100') , '1' , '2' ]</v>
      </c>
      <c r="I23" s="143" t="s">
        <v>379</v>
      </c>
      <c r="J23" s="398" t="s">
        <v>1291</v>
      </c>
      <c r="K23" s="398" t="s">
        <v>1291</v>
      </c>
      <c r="O23" s="9">
        <f t="shared" ref="O23:O62" si="0">O21+1</f>
        <v>2</v>
      </c>
    </row>
    <row r="24" spans="1:15" ht="15" customHeight="1">
      <c r="A24" s="18" t="str">
        <f>CONCATENATE("roster_2018_",O24)</f>
        <v>roster_2018_2</v>
      </c>
      <c r="B24" s="30" t="s">
        <v>60</v>
      </c>
      <c r="E24" s="9" t="s">
        <v>147</v>
      </c>
      <c r="F24" s="9" t="s">
        <v>147</v>
      </c>
      <c r="G24" s="30" t="str">
        <f>CONCATENATE("q100 = ? and q308_1_1 = ? and q308 = ?")</f>
        <v>q100 = ? and q308_1_1 = ? and q308 = ?</v>
      </c>
      <c r="H24" s="9" t="str">
        <f>CONCATENATE("[ data('q100') , '",O24,"',  '1' ]")</f>
        <v>[ data('q100') , '2',  '1' ]</v>
      </c>
      <c r="I24" s="143" t="s">
        <v>379</v>
      </c>
      <c r="J24" s="398" t="s">
        <v>1291</v>
      </c>
      <c r="K24" s="398" t="s">
        <v>1291</v>
      </c>
      <c r="O24" s="9">
        <f t="shared" si="0"/>
        <v>2</v>
      </c>
    </row>
    <row r="25" spans="1:15" ht="15" customHeight="1">
      <c r="A25" s="18" t="str">
        <f>CONCATENATE("roster_2012_",O25)</f>
        <v>roster_2012_3</v>
      </c>
      <c r="B25" s="30" t="s">
        <v>60</v>
      </c>
      <c r="E25" s="142" t="s">
        <v>202</v>
      </c>
      <c r="F25" s="142" t="s">
        <v>202</v>
      </c>
      <c r="G25" s="30" t="str">
        <f>CONCATENATE("q100 = ? and q206 = ? and q201 = ? ")</f>
        <v xml:space="preserve">q100 = ? and q206 = ? and q201 = ? </v>
      </c>
      <c r="H25" s="9" t="str">
        <f>CONCATENATE("[ data('q100') , '1' , '",O25,"' ]")</f>
        <v>[ data('q100') , '1' , '3' ]</v>
      </c>
      <c r="I25" s="143" t="s">
        <v>379</v>
      </c>
      <c r="J25" s="398" t="s">
        <v>1291</v>
      </c>
      <c r="K25" s="398" t="s">
        <v>1291</v>
      </c>
      <c r="O25" s="9">
        <f t="shared" si="0"/>
        <v>3</v>
      </c>
    </row>
    <row r="26" spans="1:15" ht="15" customHeight="1">
      <c r="A26" s="18" t="str">
        <f>CONCATENATE("roster_2018_",O26)</f>
        <v>roster_2018_3</v>
      </c>
      <c r="B26" s="30" t="s">
        <v>60</v>
      </c>
      <c r="E26" s="9" t="s">
        <v>147</v>
      </c>
      <c r="F26" s="9" t="s">
        <v>147</v>
      </c>
      <c r="G26" s="30" t="str">
        <f>CONCATENATE("q100 = ? and q308_1_1 = ? and q308 = ?")</f>
        <v>q100 = ? and q308_1_1 = ? and q308 = ?</v>
      </c>
      <c r="H26" s="9" t="str">
        <f>CONCATENATE("[ data('q100') , '",O26,"',  '1' ]")</f>
        <v>[ data('q100') , '3',  '1' ]</v>
      </c>
      <c r="I26" s="143" t="s">
        <v>379</v>
      </c>
      <c r="J26" s="398" t="s">
        <v>1291</v>
      </c>
      <c r="K26" s="398" t="s">
        <v>1291</v>
      </c>
      <c r="O26" s="9">
        <f t="shared" si="0"/>
        <v>3</v>
      </c>
    </row>
    <row r="27" spans="1:15" ht="15" customHeight="1">
      <c r="A27" s="18" t="str">
        <f>CONCATENATE("roster_2012_",O27)</f>
        <v>roster_2012_4</v>
      </c>
      <c r="B27" s="30" t="s">
        <v>60</v>
      </c>
      <c r="E27" s="142" t="s">
        <v>202</v>
      </c>
      <c r="F27" s="142" t="s">
        <v>202</v>
      </c>
      <c r="G27" s="30" t="str">
        <f>CONCATENATE("q100 = ? and q206 = ? and q201 = ? ")</f>
        <v xml:space="preserve">q100 = ? and q206 = ? and q201 = ? </v>
      </c>
      <c r="H27" s="9" t="str">
        <f>CONCATENATE("[ data('q100') , '1' , '",O27,"' ]")</f>
        <v>[ data('q100') , '1' , '4' ]</v>
      </c>
      <c r="I27" s="143" t="s">
        <v>379</v>
      </c>
      <c r="J27" s="398" t="s">
        <v>1291</v>
      </c>
      <c r="K27" s="398" t="s">
        <v>1291</v>
      </c>
      <c r="O27" s="9">
        <f t="shared" si="0"/>
        <v>4</v>
      </c>
    </row>
    <row r="28" spans="1:15" ht="15" customHeight="1">
      <c r="A28" s="18" t="str">
        <f>CONCATENATE("roster_2018_",O28)</f>
        <v>roster_2018_4</v>
      </c>
      <c r="B28" s="30" t="s">
        <v>60</v>
      </c>
      <c r="E28" s="9" t="s">
        <v>147</v>
      </c>
      <c r="F28" s="9" t="s">
        <v>147</v>
      </c>
      <c r="G28" s="30" t="str">
        <f>CONCATENATE("q100 = ? and q308_1_1 = ? and q308 = ?")</f>
        <v>q100 = ? and q308_1_1 = ? and q308 = ?</v>
      </c>
      <c r="H28" s="9" t="str">
        <f>CONCATENATE("[ data('q100') , '",O28,"',  '1' ]")</f>
        <v>[ data('q100') , '4',  '1' ]</v>
      </c>
      <c r="I28" s="143" t="s">
        <v>379</v>
      </c>
      <c r="J28" s="398" t="s">
        <v>1291</v>
      </c>
      <c r="K28" s="398" t="s">
        <v>1291</v>
      </c>
      <c r="O28" s="9">
        <f t="shared" si="0"/>
        <v>4</v>
      </c>
    </row>
    <row r="29" spans="1:15" ht="15" customHeight="1">
      <c r="A29" s="18" t="str">
        <f>CONCATENATE("roster_2012_",O29)</f>
        <v>roster_2012_5</v>
      </c>
      <c r="B29" s="30" t="s">
        <v>60</v>
      </c>
      <c r="E29" s="142" t="s">
        <v>202</v>
      </c>
      <c r="F29" s="142" t="s">
        <v>202</v>
      </c>
      <c r="G29" s="30" t="str">
        <f>CONCATENATE("q100 = ? and q206 = ? and q201 = ? ")</f>
        <v xml:space="preserve">q100 = ? and q206 = ? and q201 = ? </v>
      </c>
      <c r="H29" s="9" t="str">
        <f>CONCATENATE("[ data('q100') , '1' , '",O29,"' ]")</f>
        <v>[ data('q100') , '1' , '5' ]</v>
      </c>
      <c r="I29" s="143" t="s">
        <v>379</v>
      </c>
      <c r="J29" s="398" t="s">
        <v>1291</v>
      </c>
      <c r="K29" s="398" t="s">
        <v>1291</v>
      </c>
      <c r="O29" s="9">
        <f t="shared" si="0"/>
        <v>5</v>
      </c>
    </row>
    <row r="30" spans="1:15" ht="15" customHeight="1">
      <c r="A30" s="18" t="str">
        <f>CONCATENATE("roster_2018_",O30)</f>
        <v>roster_2018_5</v>
      </c>
      <c r="B30" s="30" t="s">
        <v>60</v>
      </c>
      <c r="E30" s="9" t="s">
        <v>147</v>
      </c>
      <c r="F30" s="9" t="s">
        <v>147</v>
      </c>
      <c r="G30" s="30" t="str">
        <f>CONCATENATE("q100 = ? and q308_1_1 = ? and q308 = ?")</f>
        <v>q100 = ? and q308_1_1 = ? and q308 = ?</v>
      </c>
      <c r="H30" s="9" t="str">
        <f>CONCATENATE("[ data('q100') , '",O30,"',  '1' ]")</f>
        <v>[ data('q100') , '5',  '1' ]</v>
      </c>
      <c r="I30" s="143" t="s">
        <v>379</v>
      </c>
      <c r="J30" s="398" t="s">
        <v>1291</v>
      </c>
      <c r="K30" s="398" t="s">
        <v>1291</v>
      </c>
      <c r="O30" s="9">
        <f t="shared" si="0"/>
        <v>5</v>
      </c>
    </row>
    <row r="31" spans="1:15" ht="15" customHeight="1">
      <c r="A31" s="18" t="str">
        <f>CONCATENATE("roster_2012_",O31)</f>
        <v>roster_2012_6</v>
      </c>
      <c r="B31" s="30" t="s">
        <v>60</v>
      </c>
      <c r="E31" s="142" t="s">
        <v>202</v>
      </c>
      <c r="F31" s="142" t="s">
        <v>202</v>
      </c>
      <c r="G31" s="30" t="str">
        <f>CONCATENATE("q100 = ? and q206 = ? and q201 = ? ")</f>
        <v xml:space="preserve">q100 = ? and q206 = ? and q201 = ? </v>
      </c>
      <c r="H31" s="9" t="str">
        <f>CONCATENATE("[ data('q100') , '1' , '",O31,"' ]")</f>
        <v>[ data('q100') , '1' , '6' ]</v>
      </c>
      <c r="I31" s="143" t="s">
        <v>379</v>
      </c>
      <c r="J31" s="398" t="s">
        <v>1291</v>
      </c>
      <c r="K31" s="398" t="s">
        <v>1291</v>
      </c>
      <c r="O31" s="9">
        <f t="shared" si="0"/>
        <v>6</v>
      </c>
    </row>
    <row r="32" spans="1:15" ht="15" customHeight="1">
      <c r="A32" s="18" t="str">
        <f>CONCATENATE("roster_2018_",O32)</f>
        <v>roster_2018_6</v>
      </c>
      <c r="B32" s="30" t="s">
        <v>60</v>
      </c>
      <c r="E32" s="9" t="s">
        <v>147</v>
      </c>
      <c r="F32" s="9" t="s">
        <v>147</v>
      </c>
      <c r="G32" s="30" t="str">
        <f>CONCATENATE("q100 = ? and q308_1_1 = ? and q308 = ?")</f>
        <v>q100 = ? and q308_1_1 = ? and q308 = ?</v>
      </c>
      <c r="H32" s="9" t="str">
        <f>CONCATENATE("[ data('q100') , '",O32,"',  '1' ]")</f>
        <v>[ data('q100') , '6',  '1' ]</v>
      </c>
      <c r="I32" s="143" t="s">
        <v>379</v>
      </c>
      <c r="J32" s="398" t="s">
        <v>1291</v>
      </c>
      <c r="K32" s="398" t="s">
        <v>1291</v>
      </c>
      <c r="O32" s="9">
        <f t="shared" si="0"/>
        <v>6</v>
      </c>
    </row>
    <row r="33" spans="1:15" ht="15" customHeight="1">
      <c r="A33" s="18" t="str">
        <f>CONCATENATE("roster_2012_",O33)</f>
        <v>roster_2012_7</v>
      </c>
      <c r="B33" s="30" t="s">
        <v>60</v>
      </c>
      <c r="E33" s="142" t="s">
        <v>202</v>
      </c>
      <c r="F33" s="142" t="s">
        <v>202</v>
      </c>
      <c r="G33" s="30" t="str">
        <f>CONCATENATE("q100 = ? and q206 = ? and q201 = ? ")</f>
        <v xml:space="preserve">q100 = ? and q206 = ? and q201 = ? </v>
      </c>
      <c r="H33" s="9" t="str">
        <f>CONCATENATE("[ data('q100') , '1' , '",O33,"' ]")</f>
        <v>[ data('q100') , '1' , '7' ]</v>
      </c>
      <c r="I33" s="143" t="s">
        <v>379</v>
      </c>
      <c r="J33" s="398" t="s">
        <v>1291</v>
      </c>
      <c r="K33" s="398" t="s">
        <v>1291</v>
      </c>
      <c r="O33" s="9">
        <f t="shared" si="0"/>
        <v>7</v>
      </c>
    </row>
    <row r="34" spans="1:15" ht="15" customHeight="1">
      <c r="A34" s="18" t="str">
        <f>CONCATENATE("roster_2018_",O34)</f>
        <v>roster_2018_7</v>
      </c>
      <c r="B34" s="30" t="s">
        <v>60</v>
      </c>
      <c r="E34" s="9" t="s">
        <v>147</v>
      </c>
      <c r="F34" s="9" t="s">
        <v>147</v>
      </c>
      <c r="G34" s="30" t="str">
        <f>CONCATENATE("q100 = ? and q308_1_1 = ? and q308 = ?")</f>
        <v>q100 = ? and q308_1_1 = ? and q308 = ?</v>
      </c>
      <c r="H34" s="9" t="str">
        <f>CONCATENATE("[ data('q100') , '",O34,"',  '1' ]")</f>
        <v>[ data('q100') , '7',  '1' ]</v>
      </c>
      <c r="I34" s="143" t="s">
        <v>379</v>
      </c>
      <c r="J34" s="398" t="s">
        <v>1291</v>
      </c>
      <c r="K34" s="398" t="s">
        <v>1291</v>
      </c>
      <c r="O34" s="9">
        <f t="shared" si="0"/>
        <v>7</v>
      </c>
    </row>
    <row r="35" spans="1:15" ht="15" customHeight="1">
      <c r="A35" s="18" t="str">
        <f>CONCATENATE("roster_2012_",O35)</f>
        <v>roster_2012_8</v>
      </c>
      <c r="B35" s="30" t="s">
        <v>60</v>
      </c>
      <c r="E35" s="142" t="s">
        <v>202</v>
      </c>
      <c r="F35" s="142" t="s">
        <v>202</v>
      </c>
      <c r="G35" s="30" t="str">
        <f>CONCATENATE("q100 = ? and q206 = ? and q201 = ? ")</f>
        <v xml:space="preserve">q100 = ? and q206 = ? and q201 = ? </v>
      </c>
      <c r="H35" s="9" t="str">
        <f>CONCATENATE("[ data('q100') , '1' , '",O35,"' ]")</f>
        <v>[ data('q100') , '1' , '8' ]</v>
      </c>
      <c r="I35" s="143" t="s">
        <v>379</v>
      </c>
      <c r="J35" s="398" t="s">
        <v>1291</v>
      </c>
      <c r="K35" s="398" t="s">
        <v>1291</v>
      </c>
      <c r="O35" s="9">
        <f t="shared" si="0"/>
        <v>8</v>
      </c>
    </row>
    <row r="36" spans="1:15" ht="15" customHeight="1">
      <c r="A36" s="18" t="str">
        <f>CONCATENATE("roster_2018_",O36)</f>
        <v>roster_2018_8</v>
      </c>
      <c r="B36" s="30" t="s">
        <v>60</v>
      </c>
      <c r="E36" s="9" t="s">
        <v>147</v>
      </c>
      <c r="F36" s="9" t="s">
        <v>147</v>
      </c>
      <c r="G36" s="30" t="str">
        <f>CONCATENATE("q100 = ? and q308_1_1 = ? and q308 = ?")</f>
        <v>q100 = ? and q308_1_1 = ? and q308 = ?</v>
      </c>
      <c r="H36" s="9" t="str">
        <f>CONCATENATE("[ data('q100') , '",O36,"',  '1' ]")</f>
        <v>[ data('q100') , '8',  '1' ]</v>
      </c>
      <c r="I36" s="143" t="s">
        <v>379</v>
      </c>
      <c r="J36" s="398" t="s">
        <v>1291</v>
      </c>
      <c r="K36" s="398" t="s">
        <v>1291</v>
      </c>
      <c r="O36" s="9">
        <f t="shared" si="0"/>
        <v>8</v>
      </c>
    </row>
    <row r="37" spans="1:15" ht="15" customHeight="1">
      <c r="A37" s="18" t="str">
        <f>CONCATENATE("roster_2012_",O37)</f>
        <v>roster_2012_9</v>
      </c>
      <c r="B37" s="30" t="s">
        <v>60</v>
      </c>
      <c r="E37" s="142" t="s">
        <v>202</v>
      </c>
      <c r="F37" s="142" t="s">
        <v>202</v>
      </c>
      <c r="G37" s="30" t="str">
        <f>CONCATENATE("q100 = ? and q206 = ? and q201 = ? ")</f>
        <v xml:space="preserve">q100 = ? and q206 = ? and q201 = ? </v>
      </c>
      <c r="H37" s="9" t="str">
        <f>CONCATENATE("[ data('q100') , '1' , '",O37,"' ]")</f>
        <v>[ data('q100') , '1' , '9' ]</v>
      </c>
      <c r="I37" s="143" t="s">
        <v>379</v>
      </c>
      <c r="J37" s="398" t="s">
        <v>1291</v>
      </c>
      <c r="K37" s="398" t="s">
        <v>1291</v>
      </c>
      <c r="O37" s="9">
        <f t="shared" si="0"/>
        <v>9</v>
      </c>
    </row>
    <row r="38" spans="1:15" ht="15" customHeight="1">
      <c r="A38" s="18" t="str">
        <f>CONCATENATE("roster_2018_",O38)</f>
        <v>roster_2018_9</v>
      </c>
      <c r="B38" s="30" t="s">
        <v>60</v>
      </c>
      <c r="E38" s="9" t="s">
        <v>147</v>
      </c>
      <c r="F38" s="9" t="s">
        <v>147</v>
      </c>
      <c r="G38" s="30" t="str">
        <f>CONCATENATE("q100 = ? and q308_1_1 = ? and q308 = ?")</f>
        <v>q100 = ? and q308_1_1 = ? and q308 = ?</v>
      </c>
      <c r="H38" s="9" t="str">
        <f>CONCATENATE("[ data('q100') , '",O38,"',  '1' ]")</f>
        <v>[ data('q100') , '9',  '1' ]</v>
      </c>
      <c r="I38" s="143" t="s">
        <v>379</v>
      </c>
      <c r="J38" s="398" t="s">
        <v>1291</v>
      </c>
      <c r="K38" s="398" t="s">
        <v>1291</v>
      </c>
      <c r="O38" s="9">
        <f t="shared" si="0"/>
        <v>9</v>
      </c>
    </row>
    <row r="39" spans="1:15" ht="15" customHeight="1">
      <c r="A39" s="18" t="str">
        <f>CONCATENATE("roster_2012_",O39)</f>
        <v>roster_2012_10</v>
      </c>
      <c r="B39" s="30" t="s">
        <v>60</v>
      </c>
      <c r="E39" s="142" t="s">
        <v>202</v>
      </c>
      <c r="F39" s="142" t="s">
        <v>202</v>
      </c>
      <c r="G39" s="30" t="str">
        <f>CONCATENATE("q100 = ? and q206 = ? and q201 = ? ")</f>
        <v xml:space="preserve">q100 = ? and q206 = ? and q201 = ? </v>
      </c>
      <c r="H39" s="9" t="str">
        <f>CONCATENATE("[ data('q100') , '1' , '",O39,"' ]")</f>
        <v>[ data('q100') , '1' , '10' ]</v>
      </c>
      <c r="I39" s="143" t="s">
        <v>379</v>
      </c>
      <c r="J39" s="398" t="s">
        <v>1291</v>
      </c>
      <c r="K39" s="398" t="s">
        <v>1291</v>
      </c>
      <c r="O39" s="9">
        <f t="shared" si="0"/>
        <v>10</v>
      </c>
    </row>
    <row r="40" spans="1:15" ht="15" customHeight="1">
      <c r="A40" s="18" t="str">
        <f>CONCATENATE("roster_2018_",O40)</f>
        <v>roster_2018_10</v>
      </c>
      <c r="B40" s="30" t="s">
        <v>60</v>
      </c>
      <c r="E40" s="9" t="s">
        <v>147</v>
      </c>
      <c r="F40" s="9" t="s">
        <v>147</v>
      </c>
      <c r="G40" s="30" t="str">
        <f>CONCATENATE("q100 = ? and q308_1_1 = ? and q308 = ?")</f>
        <v>q100 = ? and q308_1_1 = ? and q308 = ?</v>
      </c>
      <c r="H40" s="9" t="str">
        <f>CONCATENATE("[ data('q100') , '",O40,"',  '1' ]")</f>
        <v>[ data('q100') , '10',  '1' ]</v>
      </c>
      <c r="I40" s="143" t="s">
        <v>379</v>
      </c>
      <c r="J40" s="398" t="s">
        <v>1291</v>
      </c>
      <c r="K40" s="398" t="s">
        <v>1291</v>
      </c>
      <c r="O40" s="9">
        <f t="shared" si="0"/>
        <v>10</v>
      </c>
    </row>
    <row r="41" spans="1:15" ht="15" customHeight="1">
      <c r="A41" s="18" t="str">
        <f>CONCATENATE("roster_2012_",O41)</f>
        <v>roster_2012_11</v>
      </c>
      <c r="B41" s="30" t="s">
        <v>60</v>
      </c>
      <c r="E41" s="142" t="s">
        <v>202</v>
      </c>
      <c r="F41" s="142" t="s">
        <v>202</v>
      </c>
      <c r="G41" s="30" t="str">
        <f>CONCATENATE("q100 = ? and q206 = ? and q201 = ? ")</f>
        <v xml:space="preserve">q100 = ? and q206 = ? and q201 = ? </v>
      </c>
      <c r="H41" s="9" t="str">
        <f>CONCATENATE("[ data('q100') , '1' , '",O41,"' ]")</f>
        <v>[ data('q100') , '1' , '11' ]</v>
      </c>
      <c r="I41" s="143" t="s">
        <v>379</v>
      </c>
      <c r="J41" s="398" t="s">
        <v>1291</v>
      </c>
      <c r="K41" s="398" t="s">
        <v>1291</v>
      </c>
      <c r="O41" s="9">
        <f t="shared" si="0"/>
        <v>11</v>
      </c>
    </row>
    <row r="42" spans="1:15" ht="15" customHeight="1">
      <c r="A42" s="18" t="str">
        <f>CONCATENATE("roster_2018_",O42)</f>
        <v>roster_2018_11</v>
      </c>
      <c r="B42" s="30" t="s">
        <v>60</v>
      </c>
      <c r="E42" s="9" t="s">
        <v>147</v>
      </c>
      <c r="F42" s="9" t="s">
        <v>147</v>
      </c>
      <c r="G42" s="30" t="str">
        <f>CONCATENATE("q100 = ? and q308_1_1 = ? and q308 = ?")</f>
        <v>q100 = ? and q308_1_1 = ? and q308 = ?</v>
      </c>
      <c r="H42" s="9" t="str">
        <f>CONCATENATE("[ data('q100') , '",O42,"',  '1' ]")</f>
        <v>[ data('q100') , '11',  '1' ]</v>
      </c>
      <c r="I42" s="143" t="s">
        <v>379</v>
      </c>
      <c r="J42" s="398" t="s">
        <v>1291</v>
      </c>
      <c r="K42" s="398" t="s">
        <v>1291</v>
      </c>
      <c r="O42" s="9">
        <f t="shared" si="0"/>
        <v>11</v>
      </c>
    </row>
    <row r="43" spans="1:15" ht="15" customHeight="1">
      <c r="A43" s="18" t="str">
        <f>CONCATENATE("roster_2012_",O43)</f>
        <v>roster_2012_12</v>
      </c>
      <c r="B43" s="30" t="s">
        <v>60</v>
      </c>
      <c r="E43" s="142" t="s">
        <v>202</v>
      </c>
      <c r="F43" s="142" t="s">
        <v>202</v>
      </c>
      <c r="G43" s="30" t="str">
        <f>CONCATENATE("q100 = ? and q206 = ? and q201 = ? ")</f>
        <v xml:space="preserve">q100 = ? and q206 = ? and q201 = ? </v>
      </c>
      <c r="H43" s="9" t="str">
        <f>CONCATENATE("[ data('q100') , '1' , '",O43,"' ]")</f>
        <v>[ data('q100') , '1' , '12' ]</v>
      </c>
      <c r="I43" s="143" t="s">
        <v>379</v>
      </c>
      <c r="J43" s="398" t="s">
        <v>1291</v>
      </c>
      <c r="K43" s="398" t="s">
        <v>1291</v>
      </c>
      <c r="O43" s="9">
        <f t="shared" si="0"/>
        <v>12</v>
      </c>
    </row>
    <row r="44" spans="1:15" ht="15" customHeight="1">
      <c r="A44" s="18" t="str">
        <f>CONCATENATE("roster_2018_",O44)</f>
        <v>roster_2018_12</v>
      </c>
      <c r="B44" s="30" t="s">
        <v>60</v>
      </c>
      <c r="E44" s="9" t="s">
        <v>147</v>
      </c>
      <c r="F44" s="9" t="s">
        <v>147</v>
      </c>
      <c r="G44" s="30" t="str">
        <f>CONCATENATE("q100 = ? and q308_1_1 = ? and q308 = ?")</f>
        <v>q100 = ? and q308_1_1 = ? and q308 = ?</v>
      </c>
      <c r="H44" s="9" t="str">
        <f>CONCATENATE("[ data('q100') , '",O44,"',  '1' ]")</f>
        <v>[ data('q100') , '12',  '1' ]</v>
      </c>
      <c r="I44" s="143" t="s">
        <v>379</v>
      </c>
      <c r="J44" s="398" t="s">
        <v>1291</v>
      </c>
      <c r="K44" s="398" t="s">
        <v>1291</v>
      </c>
      <c r="O44" s="9">
        <f t="shared" si="0"/>
        <v>12</v>
      </c>
    </row>
    <row r="45" spans="1:15" ht="15" customHeight="1">
      <c r="A45" s="18" t="str">
        <f>CONCATENATE("roster_2012_",O45)</f>
        <v>roster_2012_13</v>
      </c>
      <c r="B45" s="30" t="s">
        <v>60</v>
      </c>
      <c r="E45" s="142" t="s">
        <v>202</v>
      </c>
      <c r="F45" s="142" t="s">
        <v>202</v>
      </c>
      <c r="G45" s="30" t="str">
        <f>CONCATENATE("q100 = ? and q206 = ? and q201 = ? ")</f>
        <v xml:space="preserve">q100 = ? and q206 = ? and q201 = ? </v>
      </c>
      <c r="H45" s="9" t="str">
        <f>CONCATENATE("[ data('q100') , '1' , '",O45,"' ]")</f>
        <v>[ data('q100') , '1' , '13' ]</v>
      </c>
      <c r="I45" s="143" t="s">
        <v>379</v>
      </c>
      <c r="J45" s="398" t="s">
        <v>1291</v>
      </c>
      <c r="K45" s="398" t="s">
        <v>1291</v>
      </c>
      <c r="O45" s="9">
        <f t="shared" si="0"/>
        <v>13</v>
      </c>
    </row>
    <row r="46" spans="1:15" ht="15" customHeight="1">
      <c r="A46" s="18" t="str">
        <f>CONCATENATE("roster_2018_",O46)</f>
        <v>roster_2018_13</v>
      </c>
      <c r="B46" s="30" t="s">
        <v>60</v>
      </c>
      <c r="E46" s="9" t="s">
        <v>147</v>
      </c>
      <c r="F46" s="9" t="s">
        <v>147</v>
      </c>
      <c r="G46" s="30" t="str">
        <f>CONCATENATE("q100 = ? and q308_1_1 = ? and q308 = ?")</f>
        <v>q100 = ? and q308_1_1 = ? and q308 = ?</v>
      </c>
      <c r="H46" s="9" t="str">
        <f>CONCATENATE("[ data('q100') , '",O46,"',  '1' ]")</f>
        <v>[ data('q100') , '13',  '1' ]</v>
      </c>
      <c r="I46" s="143" t="s">
        <v>379</v>
      </c>
      <c r="J46" s="398" t="s">
        <v>1291</v>
      </c>
      <c r="K46" s="398" t="s">
        <v>1291</v>
      </c>
      <c r="O46" s="9">
        <f t="shared" si="0"/>
        <v>13</v>
      </c>
    </row>
    <row r="47" spans="1:15" ht="15" customHeight="1">
      <c r="A47" s="18" t="str">
        <f>CONCATENATE("roster_2012_",O47)</f>
        <v>roster_2012_14</v>
      </c>
      <c r="B47" s="30" t="s">
        <v>60</v>
      </c>
      <c r="E47" s="142" t="s">
        <v>202</v>
      </c>
      <c r="F47" s="142" t="s">
        <v>202</v>
      </c>
      <c r="G47" s="30" t="str">
        <f>CONCATENATE("q100 = ? and q206 = ? and q201 = ? ")</f>
        <v xml:space="preserve">q100 = ? and q206 = ? and q201 = ? </v>
      </c>
      <c r="H47" s="9" t="str">
        <f>CONCATENATE("[ data('q100') , '1' , '",O47,"' ]")</f>
        <v>[ data('q100') , '1' , '14' ]</v>
      </c>
      <c r="I47" s="143" t="s">
        <v>379</v>
      </c>
      <c r="J47" s="398" t="s">
        <v>1291</v>
      </c>
      <c r="K47" s="398" t="s">
        <v>1291</v>
      </c>
      <c r="O47" s="9">
        <f t="shared" si="0"/>
        <v>14</v>
      </c>
    </row>
    <row r="48" spans="1:15" ht="15" customHeight="1">
      <c r="A48" s="18" t="str">
        <f>CONCATENATE("roster_2018_",O48)</f>
        <v>roster_2018_14</v>
      </c>
      <c r="B48" s="30" t="s">
        <v>60</v>
      </c>
      <c r="E48" s="9" t="s">
        <v>147</v>
      </c>
      <c r="F48" s="9" t="s">
        <v>147</v>
      </c>
      <c r="G48" s="30" t="str">
        <f>CONCATENATE("q100 = ? and q308_1_1 = ? and q308 = ?")</f>
        <v>q100 = ? and q308_1_1 = ? and q308 = ?</v>
      </c>
      <c r="H48" s="9" t="str">
        <f>CONCATENATE("[ data('q100') , '",O48,"',  '1' ]")</f>
        <v>[ data('q100') , '14',  '1' ]</v>
      </c>
      <c r="I48" s="143" t="s">
        <v>379</v>
      </c>
      <c r="J48" s="398" t="s">
        <v>1291</v>
      </c>
      <c r="K48" s="398" t="s">
        <v>1291</v>
      </c>
      <c r="O48" s="9">
        <f t="shared" si="0"/>
        <v>14</v>
      </c>
    </row>
    <row r="49" spans="1:15" ht="15" customHeight="1">
      <c r="A49" s="18" t="str">
        <f>CONCATENATE("roster_2012_",O49)</f>
        <v>roster_2012_15</v>
      </c>
      <c r="B49" s="30" t="s">
        <v>60</v>
      </c>
      <c r="E49" s="142" t="s">
        <v>202</v>
      </c>
      <c r="F49" s="142" t="s">
        <v>202</v>
      </c>
      <c r="G49" s="30" t="str">
        <f>CONCATENATE("q100 = ? and q206 = ? and q201 = ? ")</f>
        <v xml:space="preserve">q100 = ? and q206 = ? and q201 = ? </v>
      </c>
      <c r="H49" s="9" t="str">
        <f>CONCATENATE("[ data('q100') , '1' , '",O49,"' ]")</f>
        <v>[ data('q100') , '1' , '15' ]</v>
      </c>
      <c r="I49" s="143" t="s">
        <v>379</v>
      </c>
      <c r="J49" s="398" t="s">
        <v>1291</v>
      </c>
      <c r="K49" s="398" t="s">
        <v>1291</v>
      </c>
      <c r="O49" s="9">
        <f t="shared" si="0"/>
        <v>15</v>
      </c>
    </row>
    <row r="50" spans="1:15" ht="15" customHeight="1">
      <c r="A50" s="18" t="str">
        <f>CONCATENATE("roster_2018_",O50)</f>
        <v>roster_2018_15</v>
      </c>
      <c r="B50" s="30" t="s">
        <v>60</v>
      </c>
      <c r="E50" s="9" t="s">
        <v>147</v>
      </c>
      <c r="F50" s="9" t="s">
        <v>147</v>
      </c>
      <c r="G50" s="30" t="str">
        <f>CONCATENATE("q100 = ? and q308_1_1 = ? and q308 = ?")</f>
        <v>q100 = ? and q308_1_1 = ? and q308 = ?</v>
      </c>
      <c r="H50" s="9" t="str">
        <f>CONCATENATE("[ data('q100') , '",O50,"',  '1' ]")</f>
        <v>[ data('q100') , '15',  '1' ]</v>
      </c>
      <c r="I50" s="143" t="s">
        <v>379</v>
      </c>
      <c r="J50" s="398" t="s">
        <v>1291</v>
      </c>
      <c r="K50" s="398" t="s">
        <v>1291</v>
      </c>
      <c r="O50" s="9">
        <f t="shared" si="0"/>
        <v>15</v>
      </c>
    </row>
    <row r="51" spans="1:15" ht="15" customHeight="1">
      <c r="A51" s="18" t="str">
        <f>CONCATENATE("roster_2012_",O51)</f>
        <v>roster_2012_16</v>
      </c>
      <c r="B51" s="30" t="s">
        <v>60</v>
      </c>
      <c r="E51" s="142" t="s">
        <v>202</v>
      </c>
      <c r="F51" s="142" t="s">
        <v>202</v>
      </c>
      <c r="G51" s="30" t="str">
        <f>CONCATENATE("q100 = ? and q206 = ? and q201 = ? ")</f>
        <v xml:space="preserve">q100 = ? and q206 = ? and q201 = ? </v>
      </c>
      <c r="H51" s="9" t="str">
        <f>CONCATENATE("[ data('q100') , '1' , '",O51,"' ]")</f>
        <v>[ data('q100') , '1' , '16' ]</v>
      </c>
      <c r="I51" s="143" t="s">
        <v>379</v>
      </c>
      <c r="J51" s="398" t="s">
        <v>1291</v>
      </c>
      <c r="K51" s="398" t="s">
        <v>1291</v>
      </c>
      <c r="O51" s="9">
        <f t="shared" si="0"/>
        <v>16</v>
      </c>
    </row>
    <row r="52" spans="1:15" ht="15" customHeight="1">
      <c r="A52" s="18" t="str">
        <f>CONCATENATE("roster_2018_",O52)</f>
        <v>roster_2018_16</v>
      </c>
      <c r="B52" s="30" t="s">
        <v>60</v>
      </c>
      <c r="E52" s="9" t="s">
        <v>147</v>
      </c>
      <c r="F52" s="9" t="s">
        <v>147</v>
      </c>
      <c r="G52" s="30" t="str">
        <f>CONCATENATE("q100 = ? and q308_1_1 = ? and q308 = ?")</f>
        <v>q100 = ? and q308_1_1 = ? and q308 = ?</v>
      </c>
      <c r="H52" s="9" t="str">
        <f>CONCATENATE("[ data('q100') , '",O52,"',  '1' ]")</f>
        <v>[ data('q100') , '16',  '1' ]</v>
      </c>
      <c r="I52" s="143" t="s">
        <v>379</v>
      </c>
      <c r="J52" s="398" t="s">
        <v>1291</v>
      </c>
      <c r="K52" s="398" t="s">
        <v>1291</v>
      </c>
      <c r="O52" s="9">
        <f t="shared" si="0"/>
        <v>16</v>
      </c>
    </row>
    <row r="53" spans="1:15" ht="15" customHeight="1">
      <c r="A53" s="18" t="str">
        <f>CONCATENATE("roster_2012_",O53)</f>
        <v>roster_2012_17</v>
      </c>
      <c r="B53" s="30" t="s">
        <v>60</v>
      </c>
      <c r="E53" s="142" t="s">
        <v>202</v>
      </c>
      <c r="F53" s="142" t="s">
        <v>202</v>
      </c>
      <c r="G53" s="30" t="str">
        <f>CONCATENATE("q100 = ? and q206 = ? and q201 = ? ")</f>
        <v xml:space="preserve">q100 = ? and q206 = ? and q201 = ? </v>
      </c>
      <c r="H53" s="9" t="str">
        <f>CONCATENATE("[ data('q100') , '1' , '",O53,"' ]")</f>
        <v>[ data('q100') , '1' , '17' ]</v>
      </c>
      <c r="I53" s="143" t="s">
        <v>379</v>
      </c>
      <c r="J53" s="398" t="s">
        <v>1291</v>
      </c>
      <c r="K53" s="398" t="s">
        <v>1291</v>
      </c>
      <c r="O53" s="9">
        <f t="shared" si="0"/>
        <v>17</v>
      </c>
    </row>
    <row r="54" spans="1:15" ht="15" customHeight="1">
      <c r="A54" s="18" t="str">
        <f>CONCATENATE("roster_2018_",O54)</f>
        <v>roster_2018_17</v>
      </c>
      <c r="B54" s="30" t="s">
        <v>60</v>
      </c>
      <c r="E54" s="9" t="s">
        <v>147</v>
      </c>
      <c r="F54" s="9" t="s">
        <v>147</v>
      </c>
      <c r="G54" s="30" t="str">
        <f>CONCATENATE("q100 = ? and q308_1_1 = ? and q308 = ?")</f>
        <v>q100 = ? and q308_1_1 = ? and q308 = ?</v>
      </c>
      <c r="H54" s="9" t="str">
        <f>CONCATENATE("[ data('q100') , '",O54,"',  '1' ]")</f>
        <v>[ data('q100') , '17',  '1' ]</v>
      </c>
      <c r="I54" s="143" t="s">
        <v>379</v>
      </c>
      <c r="J54" s="398" t="s">
        <v>1291</v>
      </c>
      <c r="K54" s="398" t="s">
        <v>1291</v>
      </c>
      <c r="O54" s="9">
        <f t="shared" si="0"/>
        <v>17</v>
      </c>
    </row>
    <row r="55" spans="1:15" ht="15" customHeight="1">
      <c r="A55" s="18" t="str">
        <f>CONCATENATE("roster_2012_",O55)</f>
        <v>roster_2012_18</v>
      </c>
      <c r="B55" s="30" t="s">
        <v>60</v>
      </c>
      <c r="E55" s="142" t="s">
        <v>202</v>
      </c>
      <c r="F55" s="142" t="s">
        <v>202</v>
      </c>
      <c r="G55" s="30" t="str">
        <f>CONCATENATE("q100 = ? and q206 = ? and q201 = ? ")</f>
        <v xml:space="preserve">q100 = ? and q206 = ? and q201 = ? </v>
      </c>
      <c r="H55" s="9" t="str">
        <f>CONCATENATE("[ data('q100') , '1' , '",O55,"' ]")</f>
        <v>[ data('q100') , '1' , '18' ]</v>
      </c>
      <c r="I55" s="143" t="s">
        <v>379</v>
      </c>
      <c r="J55" s="398" t="s">
        <v>1291</v>
      </c>
      <c r="K55" s="398" t="s">
        <v>1291</v>
      </c>
      <c r="O55" s="9">
        <f t="shared" si="0"/>
        <v>18</v>
      </c>
    </row>
    <row r="56" spans="1:15" ht="15" customHeight="1">
      <c r="A56" s="18" t="str">
        <f>CONCATENATE("roster_2018_",O56)</f>
        <v>roster_2018_18</v>
      </c>
      <c r="B56" s="30" t="s">
        <v>60</v>
      </c>
      <c r="E56" s="9" t="s">
        <v>147</v>
      </c>
      <c r="F56" s="9" t="s">
        <v>147</v>
      </c>
      <c r="G56" s="30" t="str">
        <f>CONCATENATE("q100 = ? and q308_1_1 = ? and q308 = ?")</f>
        <v>q100 = ? and q308_1_1 = ? and q308 = ?</v>
      </c>
      <c r="H56" s="9" t="str">
        <f>CONCATENATE("[ data('q100') , '",O56,"',  '1' ]")</f>
        <v>[ data('q100') , '18',  '1' ]</v>
      </c>
      <c r="I56" s="143" t="s">
        <v>379</v>
      </c>
      <c r="J56" s="398" t="s">
        <v>1291</v>
      </c>
      <c r="K56" s="398" t="s">
        <v>1291</v>
      </c>
      <c r="O56" s="9">
        <f t="shared" si="0"/>
        <v>18</v>
      </c>
    </row>
    <row r="57" spans="1:15" ht="15" customHeight="1">
      <c r="A57" s="18" t="str">
        <f>CONCATENATE("roster_2012_",O57)</f>
        <v>roster_2012_19</v>
      </c>
      <c r="B57" s="30" t="s">
        <v>60</v>
      </c>
      <c r="E57" s="142" t="s">
        <v>202</v>
      </c>
      <c r="F57" s="142" t="s">
        <v>202</v>
      </c>
      <c r="G57" s="30" t="str">
        <f>CONCATENATE("q100 = ? and q206 = ? and q201 = ? ")</f>
        <v xml:space="preserve">q100 = ? and q206 = ? and q201 = ? </v>
      </c>
      <c r="H57" s="9" t="str">
        <f>CONCATENATE("[ data('q100') , '1' , '",O57,"' ]")</f>
        <v>[ data('q100') , '1' , '19' ]</v>
      </c>
      <c r="I57" s="143" t="s">
        <v>379</v>
      </c>
      <c r="J57" s="398" t="s">
        <v>1291</v>
      </c>
      <c r="K57" s="398" t="s">
        <v>1291</v>
      </c>
      <c r="O57" s="9">
        <f t="shared" si="0"/>
        <v>19</v>
      </c>
    </row>
    <row r="58" spans="1:15" ht="15" customHeight="1">
      <c r="A58" s="18" t="str">
        <f>CONCATENATE("roster_2018_",O58)</f>
        <v>roster_2018_19</v>
      </c>
      <c r="B58" s="30" t="s">
        <v>60</v>
      </c>
      <c r="E58" s="9" t="s">
        <v>147</v>
      </c>
      <c r="F58" s="9" t="s">
        <v>147</v>
      </c>
      <c r="G58" s="30" t="str">
        <f>CONCATENATE("q100 = ? and q308_1_1 = ? and q308 = ?")</f>
        <v>q100 = ? and q308_1_1 = ? and q308 = ?</v>
      </c>
      <c r="H58" s="9" t="str">
        <f>CONCATENATE("[ data('q100') , '",O58,"',  '1' ]")</f>
        <v>[ data('q100') , '19',  '1' ]</v>
      </c>
      <c r="I58" s="143" t="s">
        <v>379</v>
      </c>
      <c r="J58" s="398" t="s">
        <v>1291</v>
      </c>
      <c r="K58" s="398" t="s">
        <v>1291</v>
      </c>
      <c r="O58" s="9">
        <f t="shared" si="0"/>
        <v>19</v>
      </c>
    </row>
    <row r="59" spans="1:15" ht="15" customHeight="1">
      <c r="A59" s="18" t="str">
        <f>CONCATENATE("roster_2012_",O59)</f>
        <v>roster_2012_20</v>
      </c>
      <c r="B59" s="30" t="s">
        <v>60</v>
      </c>
      <c r="E59" s="142" t="s">
        <v>202</v>
      </c>
      <c r="F59" s="142" t="s">
        <v>202</v>
      </c>
      <c r="G59" s="30" t="str">
        <f>CONCATENATE("q100 = ? and q206 = ? and q201 = ? ")</f>
        <v xml:space="preserve">q100 = ? and q206 = ? and q201 = ? </v>
      </c>
      <c r="H59" s="9" t="str">
        <f>CONCATENATE("[ data('q100') , '1' , '",O59,"' ]")</f>
        <v>[ data('q100') , '1' , '20' ]</v>
      </c>
      <c r="I59" s="143" t="s">
        <v>379</v>
      </c>
      <c r="J59" s="398" t="s">
        <v>1291</v>
      </c>
      <c r="K59" s="398" t="s">
        <v>1291</v>
      </c>
      <c r="O59" s="9">
        <f t="shared" si="0"/>
        <v>20</v>
      </c>
    </row>
    <row r="60" spans="1:15" ht="15" customHeight="1">
      <c r="A60" s="18" t="str">
        <f>CONCATENATE("roster_2018_",O60)</f>
        <v>roster_2018_20</v>
      </c>
      <c r="B60" s="30" t="s">
        <v>60</v>
      </c>
      <c r="E60" s="9" t="s">
        <v>147</v>
      </c>
      <c r="F60" s="9" t="s">
        <v>147</v>
      </c>
      <c r="G60" s="30" t="str">
        <f>CONCATENATE("q100 = ? and q308_1_1 = ? and q308 = ?")</f>
        <v>q100 = ? and q308_1_1 = ? and q308 = ?</v>
      </c>
      <c r="H60" s="9" t="str">
        <f>CONCATENATE("[ data('q100') , '",O60,"',  '1' ]")</f>
        <v>[ data('q100') , '20',  '1' ]</v>
      </c>
      <c r="I60" s="143" t="s">
        <v>379</v>
      </c>
      <c r="J60" s="398" t="s">
        <v>1291</v>
      </c>
      <c r="K60" s="398" t="s">
        <v>1291</v>
      </c>
      <c r="O60" s="9">
        <f t="shared" si="0"/>
        <v>20</v>
      </c>
    </row>
    <row r="61" spans="1:15" ht="15" customHeight="1">
      <c r="A61" s="18" t="str">
        <f>CONCATENATE("roster_2012_",O61)</f>
        <v>roster_2012_21</v>
      </c>
      <c r="B61" s="30" t="s">
        <v>60</v>
      </c>
      <c r="E61" s="142" t="s">
        <v>202</v>
      </c>
      <c r="F61" s="142" t="s">
        <v>202</v>
      </c>
      <c r="G61" s="30" t="str">
        <f>CONCATENATE("q100 = ? and q206 = ? and q201 = ? ")</f>
        <v xml:space="preserve">q100 = ? and q206 = ? and q201 = ? </v>
      </c>
      <c r="H61" s="9" t="str">
        <f>CONCATENATE("[ data('q100') , '1' , '",O61,"' ]")</f>
        <v>[ data('q100') , '1' , '21' ]</v>
      </c>
      <c r="I61" s="143" t="s">
        <v>379</v>
      </c>
      <c r="J61" s="398" t="s">
        <v>1291</v>
      </c>
      <c r="K61" s="398" t="s">
        <v>1291</v>
      </c>
      <c r="O61" s="9">
        <f t="shared" si="0"/>
        <v>21</v>
      </c>
    </row>
    <row r="62" spans="1:15" ht="15" customHeight="1">
      <c r="A62" s="18" t="str">
        <f>CONCATENATE("roster_2018_",O62)</f>
        <v>roster_2018_21</v>
      </c>
      <c r="B62" s="30" t="s">
        <v>60</v>
      </c>
      <c r="E62" s="9" t="s">
        <v>147</v>
      </c>
      <c r="F62" s="9" t="s">
        <v>147</v>
      </c>
      <c r="G62" s="30" t="str">
        <f>CONCATENATE("q100 = ? and q308_1_1 = ? and q308 = ?")</f>
        <v>q100 = ? and q308_1_1 = ? and q308 = ?</v>
      </c>
      <c r="H62" s="9" t="str">
        <f>CONCATENATE("[ data('q100') , '",O62,"',  '1' ]")</f>
        <v>[ data('q100') , '21',  '1' ]</v>
      </c>
      <c r="I62" s="143" t="s">
        <v>379</v>
      </c>
      <c r="J62" s="398" t="s">
        <v>1291</v>
      </c>
      <c r="K62" s="398" t="s">
        <v>1291</v>
      </c>
      <c r="O62" s="9">
        <f t="shared" si="0"/>
        <v>21</v>
      </c>
    </row>
    <row r="63" spans="1:15" ht="15" customHeight="1">
      <c r="A63" s="18"/>
      <c r="B63" s="30"/>
      <c r="I63" s="143"/>
    </row>
    <row r="64" spans="1:15" ht="15" customHeight="1">
      <c r="A64" s="18" t="str">
        <f>CONCATENATE("roster_line_",'3_0_individual_data'!N170)</f>
        <v>roster_line_q318</v>
      </c>
      <c r="B64" s="30" t="s">
        <v>60</v>
      </c>
      <c r="C64" s="30"/>
      <c r="D64" s="30"/>
      <c r="E64" s="352" t="s">
        <v>147</v>
      </c>
      <c r="F64" s="9" t="s">
        <v>147</v>
      </c>
      <c r="G64" s="30" t="str">
        <f t="shared" ref="G64" si="1">CONCATENATE("q100 = ? and _id = ?")</f>
        <v>q100 = ? and _id = ?</v>
      </c>
      <c r="H64" s="142" t="str">
        <f>CONCATENATE("[ data('q100') , data('",'3_0_individual_data'!N170,"') ]")</f>
        <v>[ data('q100') , data('q318') ]</v>
      </c>
      <c r="I64" s="143" t="s">
        <v>379</v>
      </c>
      <c r="J64" s="398" t="s">
        <v>1291</v>
      </c>
      <c r="K64" s="398" t="s">
        <v>1291</v>
      </c>
      <c r="L64" s="30" t="s">
        <v>408</v>
      </c>
      <c r="M64" s="30"/>
      <c r="N64" s="30"/>
    </row>
    <row r="65" spans="1:15" ht="15" customHeight="1">
      <c r="A65" s="18"/>
      <c r="B65" s="30"/>
      <c r="C65" s="30"/>
      <c r="D65" s="30"/>
      <c r="E65" s="352"/>
      <c r="H65" s="142"/>
      <c r="I65" s="143"/>
      <c r="L65" s="30"/>
      <c r="M65" s="30"/>
      <c r="N65" s="30"/>
    </row>
    <row r="66" spans="1:15" s="30" customFormat="1">
      <c r="A66" s="30" t="s">
        <v>465</v>
      </c>
      <c r="B66" s="30" t="s">
        <v>60</v>
      </c>
      <c r="E66" s="9" t="s">
        <v>208</v>
      </c>
      <c r="F66" s="9" t="s">
        <v>208</v>
      </c>
      <c r="G66" s="30" t="s">
        <v>199</v>
      </c>
      <c r="H66" s="9" t="s">
        <v>200</v>
      </c>
      <c r="I66" s="143" t="s">
        <v>379</v>
      </c>
      <c r="J66" s="398" t="s">
        <v>1291</v>
      </c>
      <c r="K66" s="398" t="s">
        <v>1291</v>
      </c>
    </row>
    <row r="67" spans="1:15" s="18" customFormat="1">
      <c r="A67" s="18" t="s">
        <v>466</v>
      </c>
      <c r="B67" s="18" t="s">
        <v>60</v>
      </c>
      <c r="E67" s="18" t="s">
        <v>208</v>
      </c>
      <c r="F67" s="18" t="s">
        <v>208</v>
      </c>
      <c r="G67" s="18" t="str">
        <f>CONCATENATE("q100 = ? and _savepoint_type = ?")</f>
        <v>q100 = ? and _savepoint_type = ?</v>
      </c>
      <c r="H67" s="170" t="str">
        <f>CONCATENATE("[ data('q100') , 'COMPLETE' ]")</f>
        <v>[ data('q100') , 'COMPLETE' ]</v>
      </c>
      <c r="I67" s="171" t="s">
        <v>379</v>
      </c>
      <c r="J67" s="398" t="s">
        <v>1291</v>
      </c>
      <c r="K67" s="398" t="s">
        <v>1291</v>
      </c>
    </row>
    <row r="68" spans="1:15" s="18" customFormat="1">
      <c r="H68" s="170"/>
      <c r="I68" s="171"/>
      <c r="J68" s="30"/>
    </row>
    <row r="69" spans="1:15" s="18" customFormat="1">
      <c r="A69" s="63" t="s">
        <v>802</v>
      </c>
      <c r="B69" s="63" t="s">
        <v>60</v>
      </c>
      <c r="E69" s="352" t="s">
        <v>147</v>
      </c>
      <c r="F69" s="9" t="s">
        <v>147</v>
      </c>
      <c r="G69" s="63" t="str">
        <f>CONCATENATE("q100 = ? and q306 &gt;= ? ")</f>
        <v xml:space="preserve">q100 = ? and q306 &gt;= ? </v>
      </c>
      <c r="H69" s="352" t="str">
        <f>CONCATENATE("[ data('q100') , '6' ]")</f>
        <v>[ data('q100') , '6' ]</v>
      </c>
      <c r="I69" s="63" t="s">
        <v>379</v>
      </c>
      <c r="J69" s="398" t="s">
        <v>1291</v>
      </c>
      <c r="K69" s="398" t="s">
        <v>1291</v>
      </c>
    </row>
    <row r="70" spans="1:15" s="18" customFormat="1" ht="30">
      <c r="A70" s="63" t="s">
        <v>797</v>
      </c>
      <c r="B70" s="63" t="s">
        <v>60</v>
      </c>
      <c r="C70" s="63"/>
      <c r="D70" s="63"/>
      <c r="E70" s="18" t="s">
        <v>795</v>
      </c>
      <c r="F70" s="300" t="s">
        <v>147</v>
      </c>
      <c r="G70" s="63" t="str">
        <f>CONCATENATE("q100 = ? and enter_2_00_0 = ? and q306 &gt;= ? ")</f>
        <v xml:space="preserve">q100 = ? and enter_2_00_0 = ? and q306 &gt;= ? </v>
      </c>
      <c r="H70" s="352" t="str">
        <f>CONCATENATE("[ data('q100') , '1' , '6' ]")</f>
        <v>[ data('q100') , '1' , '6' ]</v>
      </c>
      <c r="I70" s="63" t="s">
        <v>379</v>
      </c>
      <c r="J70" s="398" t="s">
        <v>1291</v>
      </c>
      <c r="K70" s="398" t="s">
        <v>1291</v>
      </c>
      <c r="L70" s="63"/>
      <c r="M70" s="63"/>
      <c r="N70" s="63"/>
      <c r="O70" s="63"/>
    </row>
    <row r="71" spans="1:15" s="18" customFormat="1" ht="30">
      <c r="A71" s="63" t="s">
        <v>798</v>
      </c>
      <c r="B71" s="63" t="s">
        <v>60</v>
      </c>
      <c r="C71" s="63"/>
      <c r="D71" s="63"/>
      <c r="E71" s="18" t="s">
        <v>795</v>
      </c>
      <c r="F71" s="300" t="s">
        <v>147</v>
      </c>
      <c r="G71" s="63" t="str">
        <f>CONCATENATE("q100 = ? and _savepoint_type = ? and q306 &gt;= ?")</f>
        <v>q100 = ? and _savepoint_type = ? and q306 &gt;= ?</v>
      </c>
      <c r="H71" s="352" t="str">
        <f>CONCATENATE("[ data('q100') , 'COMPLETE' , '6']")</f>
        <v>[ data('q100') , 'COMPLETE' , '6']</v>
      </c>
      <c r="I71" s="63" t="s">
        <v>379</v>
      </c>
      <c r="J71" s="398" t="s">
        <v>1291</v>
      </c>
      <c r="K71" s="398" t="s">
        <v>1291</v>
      </c>
      <c r="L71" s="63"/>
      <c r="M71" s="63"/>
      <c r="N71" s="63"/>
      <c r="O71" s="63"/>
    </row>
    <row r="72" spans="1:15" s="18" customFormat="1">
      <c r="H72" s="170"/>
      <c r="I72" s="171"/>
      <c r="J72" s="30"/>
    </row>
    <row r="73" spans="1:15" s="18" customFormat="1">
      <c r="A73" s="18" t="str">
        <f>'13_0_Statistical_Identification'!M12</f>
        <v>roster_line_q13001</v>
      </c>
      <c r="B73" s="30" t="s">
        <v>60</v>
      </c>
      <c r="E73" s="9" t="s">
        <v>147</v>
      </c>
      <c r="F73" s="9" t="s">
        <v>147</v>
      </c>
      <c r="G73" s="30" t="str">
        <f t="shared" ref="G73" si="2">CONCATENATE("q100 = ? and _id = ?")</f>
        <v>q100 = ? and _id = ?</v>
      </c>
      <c r="H73" s="9" t="s">
        <v>516</v>
      </c>
      <c r="I73" s="143" t="s">
        <v>379</v>
      </c>
      <c r="J73" s="398" t="s">
        <v>1291</v>
      </c>
      <c r="K73" s="398" t="s">
        <v>1291</v>
      </c>
      <c r="L73" s="30" t="s">
        <v>408</v>
      </c>
    </row>
    <row r="74" spans="1:15" ht="15" customHeight="1">
      <c r="M74" s="30"/>
      <c r="N74" s="30"/>
    </row>
    <row r="75" spans="1:15" ht="15" customHeight="1">
      <c r="A75" s="64" t="s">
        <v>286</v>
      </c>
      <c r="B75" s="64" t="s">
        <v>181</v>
      </c>
      <c r="C75" s="64" t="s">
        <v>287</v>
      </c>
      <c r="D75" s="19" t="s">
        <v>288</v>
      </c>
      <c r="E75" s="64"/>
      <c r="F75" s="64"/>
      <c r="G75" s="31"/>
      <c r="H75" s="64"/>
      <c r="I75" s="64"/>
      <c r="L75" s="64"/>
    </row>
    <row r="76" spans="1:15" s="64" customFormat="1" ht="15" customHeight="1">
      <c r="D76" s="19"/>
      <c r="G76" s="31"/>
      <c r="J76" s="31"/>
    </row>
    <row r="77" spans="1:15" s="64" customFormat="1" ht="15" customHeight="1">
      <c r="A77" s="16" t="s">
        <v>289</v>
      </c>
      <c r="B77" s="19" t="s">
        <v>60</v>
      </c>
      <c r="C77" s="19"/>
      <c r="D77" s="19"/>
      <c r="E77" s="16" t="s">
        <v>290</v>
      </c>
      <c r="F77" s="16" t="s">
        <v>290</v>
      </c>
      <c r="G77" s="146" t="s">
        <v>199</v>
      </c>
      <c r="H77" s="68" t="s">
        <v>200</v>
      </c>
      <c r="I77" s="69" t="s">
        <v>201</v>
      </c>
      <c r="J77" s="396" t="s">
        <v>1293</v>
      </c>
      <c r="K77" s="397" t="s">
        <v>1291</v>
      </c>
      <c r="L77" s="19"/>
      <c r="M77" s="19" t="s">
        <v>1532</v>
      </c>
      <c r="N77" s="19"/>
    </row>
    <row r="78" spans="1:15" s="19" customFormat="1" ht="15" customHeight="1">
      <c r="A78" s="16" t="s">
        <v>291</v>
      </c>
      <c r="B78" s="19" t="s">
        <v>60</v>
      </c>
      <c r="E78" s="16" t="s">
        <v>292</v>
      </c>
      <c r="F78" s="16" t="s">
        <v>290</v>
      </c>
      <c r="G78" s="146" t="s">
        <v>199</v>
      </c>
      <c r="H78" s="68" t="s">
        <v>200</v>
      </c>
      <c r="I78" s="69" t="s">
        <v>201</v>
      </c>
      <c r="J78" s="396" t="s">
        <v>1293</v>
      </c>
      <c r="K78" s="397" t="s">
        <v>1291</v>
      </c>
      <c r="M78" s="19" t="s">
        <v>1532</v>
      </c>
    </row>
    <row r="79" spans="1:15" s="30" customFormat="1" ht="15" customHeight="1">
      <c r="A79" s="169" t="s">
        <v>521</v>
      </c>
      <c r="B79" s="30" t="s">
        <v>60</v>
      </c>
      <c r="E79" s="16" t="s">
        <v>292</v>
      </c>
      <c r="F79" s="16" t="s">
        <v>290</v>
      </c>
      <c r="G79" s="30" t="str">
        <f>CONCATENATE("q100 = ? and enter_3_14_1_update = ?")</f>
        <v>q100 = ? and enter_3_14_1_update = ?</v>
      </c>
      <c r="H79" s="142" t="str">
        <f>CONCATENATE("[ data('q100') , '1' ]")</f>
        <v>[ data('q100') , '1' ]</v>
      </c>
      <c r="I79" s="143" t="s">
        <v>379</v>
      </c>
      <c r="J79" s="398" t="s">
        <v>1291</v>
      </c>
      <c r="K79" s="398" t="s">
        <v>1291</v>
      </c>
    </row>
    <row r="80" spans="1:15" s="18" customFormat="1">
      <c r="A80" s="169" t="s">
        <v>522</v>
      </c>
      <c r="B80" s="18" t="s">
        <v>60</v>
      </c>
      <c r="E80" s="16" t="s">
        <v>292</v>
      </c>
      <c r="F80" s="16" t="s">
        <v>290</v>
      </c>
      <c r="G80" s="18" t="str">
        <f>CONCATENATE("q100 = ? and _savepoint_type = ?")</f>
        <v>q100 = ? and _savepoint_type = ?</v>
      </c>
      <c r="H80" s="170" t="str">
        <f>CONCATENATE("[ data('q100') , 'COMPLETE' ]")</f>
        <v>[ data('q100') , 'COMPLETE' ]</v>
      </c>
      <c r="I80" s="171" t="s">
        <v>379</v>
      </c>
      <c r="J80" s="398" t="s">
        <v>1291</v>
      </c>
      <c r="K80" s="398" t="s">
        <v>1291</v>
      </c>
    </row>
    <row r="81" spans="1:15" s="19" customFormat="1" ht="15" customHeight="1">
      <c r="A81" s="64"/>
      <c r="B81" s="64"/>
      <c r="C81" s="64"/>
      <c r="D81" s="64"/>
      <c r="E81" s="64"/>
      <c r="F81" s="64"/>
      <c r="G81" s="31"/>
      <c r="H81" s="64"/>
      <c r="I81" s="64"/>
      <c r="J81" s="31"/>
      <c r="L81" s="64"/>
    </row>
    <row r="82" spans="1:15" s="64" customFormat="1" ht="26.25">
      <c r="A82" s="16" t="s">
        <v>293</v>
      </c>
      <c r="B82" s="19" t="s">
        <v>60</v>
      </c>
      <c r="C82" s="19"/>
      <c r="D82" s="19"/>
      <c r="E82" s="16" t="s">
        <v>411</v>
      </c>
      <c r="F82" s="16" t="s">
        <v>411</v>
      </c>
      <c r="G82" s="146" t="s">
        <v>199</v>
      </c>
      <c r="H82" s="68" t="s">
        <v>200</v>
      </c>
      <c r="I82" s="141" t="str">
        <f>"'q100='+opendatakit.encodeURIDataElement('q100')+'&amp;zhas_migrants='+opendatakit.encodeURIDataElement('zhas_migrants')"</f>
        <v>'q100='+opendatakit.encodeURIDataElement('q100')+'&amp;zhas_migrants='+opendatakit.encodeURIDataElement('zhas_migrants')</v>
      </c>
      <c r="J82" s="396" t="s">
        <v>1325</v>
      </c>
      <c r="K82" s="397" t="s">
        <v>1291</v>
      </c>
      <c r="L82" s="19"/>
      <c r="M82" s="19" t="s">
        <v>1533</v>
      </c>
    </row>
    <row r="83" spans="1:15" s="19" customFormat="1" ht="15" customHeight="1">
      <c r="A83" s="16" t="s">
        <v>294</v>
      </c>
      <c r="B83" s="19" t="s">
        <v>60</v>
      </c>
      <c r="E83" s="16" t="s">
        <v>412</v>
      </c>
      <c r="F83" s="16" t="s">
        <v>411</v>
      </c>
      <c r="G83" s="146" t="s">
        <v>199</v>
      </c>
      <c r="H83" s="68" t="s">
        <v>200</v>
      </c>
      <c r="I83" s="143" t="s">
        <v>379</v>
      </c>
      <c r="J83" s="398" t="s">
        <v>1291</v>
      </c>
      <c r="K83" s="398" t="s">
        <v>1291</v>
      </c>
      <c r="M83" s="19" t="s">
        <v>1533</v>
      </c>
    </row>
    <row r="84" spans="1:15" s="30" customFormat="1">
      <c r="A84" s="169" t="s">
        <v>517</v>
      </c>
      <c r="B84" s="30" t="s">
        <v>60</v>
      </c>
      <c r="E84" s="16" t="s">
        <v>412</v>
      </c>
      <c r="F84" s="16" t="s">
        <v>411</v>
      </c>
      <c r="G84" s="30" t="str">
        <f>CONCATENATE("q100 = ? and enter_3_14_2_update = ?")</f>
        <v>q100 = ? and enter_3_14_2_update = ?</v>
      </c>
      <c r="H84" s="142" t="str">
        <f>CONCATENATE("[ data('q100') , '1' ]")</f>
        <v>[ data('q100') , '1' ]</v>
      </c>
      <c r="I84" s="143" t="s">
        <v>379</v>
      </c>
      <c r="J84" s="398" t="s">
        <v>1291</v>
      </c>
      <c r="K84" s="398" t="s">
        <v>1291</v>
      </c>
    </row>
    <row r="85" spans="1:15" s="18" customFormat="1">
      <c r="A85" s="169" t="s">
        <v>518</v>
      </c>
      <c r="B85" s="18" t="s">
        <v>60</v>
      </c>
      <c r="E85" s="16" t="s">
        <v>412</v>
      </c>
      <c r="F85" s="16" t="s">
        <v>411</v>
      </c>
      <c r="G85" s="18" t="str">
        <f>CONCATENATE("q100 = ? and _savepoint_type = ?")</f>
        <v>q100 = ? and _savepoint_type = ?</v>
      </c>
      <c r="H85" s="170" t="str">
        <f>CONCATENATE("[ data('q100') , 'COMPLETE' ]")</f>
        <v>[ data('q100') , 'COMPLETE' ]</v>
      </c>
      <c r="I85" s="171" t="s">
        <v>379</v>
      </c>
      <c r="J85" s="398" t="s">
        <v>1291</v>
      </c>
      <c r="K85" s="398" t="s">
        <v>1291</v>
      </c>
    </row>
    <row r="86" spans="1:15" s="18" customFormat="1" ht="15" customHeight="1">
      <c r="A86" s="8"/>
      <c r="E86" s="16"/>
      <c r="F86" s="16"/>
      <c r="G86" s="30"/>
      <c r="H86" s="9"/>
      <c r="J86" s="30"/>
      <c r="L86" s="9"/>
      <c r="M86" s="404"/>
      <c r="N86" s="9"/>
      <c r="O86" s="9"/>
    </row>
    <row r="87" spans="1:15">
      <c r="A87" s="9" t="s">
        <v>556</v>
      </c>
      <c r="B87" s="9" t="s">
        <v>60</v>
      </c>
      <c r="E87" s="9" t="s">
        <v>147</v>
      </c>
      <c r="F87" s="9" t="s">
        <v>147</v>
      </c>
      <c r="G87" s="9" t="str">
        <f t="shared" ref="G87:G116" si="3">CONCATENATE("q100 = ? and _id = ?")</f>
        <v>q100 = ? and _id = ?</v>
      </c>
      <c r="H87" s="170" t="str">
        <f>CONCATENATE("[ data('q100') , data('q14304_1a')  ]")</f>
        <v>[ data('q100') , data('q14304_1a')  ]</v>
      </c>
      <c r="I87" s="9" t="s">
        <v>379</v>
      </c>
      <c r="J87" s="398" t="s">
        <v>1291</v>
      </c>
      <c r="K87" s="398" t="s">
        <v>1291</v>
      </c>
      <c r="L87" s="9" t="s">
        <v>408</v>
      </c>
    </row>
    <row r="88" spans="1:15">
      <c r="A88" s="9" t="s">
        <v>557</v>
      </c>
      <c r="B88" s="9" t="s">
        <v>60</v>
      </c>
      <c r="E88" s="9" t="s">
        <v>147</v>
      </c>
      <c r="F88" s="9" t="s">
        <v>147</v>
      </c>
      <c r="G88" s="9" t="str">
        <f t="shared" si="3"/>
        <v>q100 = ? and _id = ?</v>
      </c>
      <c r="H88" s="170" t="str">
        <f>CONCATENATE("[ data('q100') , data('q14304_1b')  ]")</f>
        <v>[ data('q100') , data('q14304_1b')  ]</v>
      </c>
      <c r="I88" s="9" t="s">
        <v>379</v>
      </c>
      <c r="J88" s="398" t="s">
        <v>1291</v>
      </c>
      <c r="K88" s="398" t="s">
        <v>1291</v>
      </c>
      <c r="L88" s="9" t="s">
        <v>408</v>
      </c>
    </row>
    <row r="89" spans="1:15">
      <c r="A89" s="9" t="s">
        <v>558</v>
      </c>
      <c r="B89" s="9" t="s">
        <v>60</v>
      </c>
      <c r="E89" s="9" t="s">
        <v>147</v>
      </c>
      <c r="F89" s="9" t="s">
        <v>147</v>
      </c>
      <c r="G89" s="9" t="str">
        <f t="shared" si="3"/>
        <v>q100 = ? and _id = ?</v>
      </c>
      <c r="H89" s="170" t="str">
        <f>CONCATENATE("[ data('q100') , data('q14304_1c')  ]")</f>
        <v>[ data('q100') , data('q14304_1c')  ]</v>
      </c>
      <c r="I89" s="9" t="s">
        <v>379</v>
      </c>
      <c r="J89" s="398" t="s">
        <v>1291</v>
      </c>
      <c r="K89" s="398" t="s">
        <v>1291</v>
      </c>
      <c r="L89" s="9" t="s">
        <v>408</v>
      </c>
    </row>
    <row r="90" spans="1:15">
      <c r="A90" s="9" t="s">
        <v>559</v>
      </c>
      <c r="B90" s="9" t="s">
        <v>60</v>
      </c>
      <c r="E90" s="9" t="s">
        <v>147</v>
      </c>
      <c r="F90" s="9" t="s">
        <v>147</v>
      </c>
      <c r="G90" s="9" t="str">
        <f t="shared" si="3"/>
        <v>q100 = ? and _id = ?</v>
      </c>
      <c r="H90" s="170" t="str">
        <f>CONCATENATE("[ data('q100') , data('q14304_2a')  ]")</f>
        <v>[ data('q100') , data('q14304_2a')  ]</v>
      </c>
      <c r="I90" s="9" t="s">
        <v>379</v>
      </c>
      <c r="J90" s="398" t="s">
        <v>1291</v>
      </c>
      <c r="K90" s="398" t="s">
        <v>1291</v>
      </c>
      <c r="L90" s="9" t="s">
        <v>408</v>
      </c>
    </row>
    <row r="91" spans="1:15">
      <c r="A91" s="9" t="s">
        <v>560</v>
      </c>
      <c r="B91" s="9" t="s">
        <v>60</v>
      </c>
      <c r="E91" s="9" t="s">
        <v>147</v>
      </c>
      <c r="F91" s="9" t="s">
        <v>147</v>
      </c>
      <c r="G91" s="9" t="str">
        <f t="shared" si="3"/>
        <v>q100 = ? and _id = ?</v>
      </c>
      <c r="H91" s="170" t="str">
        <f>CONCATENATE("[ data('q100') , data('q14304_2b')  ]")</f>
        <v>[ data('q100') , data('q14304_2b')  ]</v>
      </c>
      <c r="I91" s="9" t="s">
        <v>379</v>
      </c>
      <c r="J91" s="398" t="s">
        <v>1291</v>
      </c>
      <c r="K91" s="398" t="s">
        <v>1291</v>
      </c>
      <c r="L91" s="9" t="s">
        <v>408</v>
      </c>
    </row>
    <row r="92" spans="1:15">
      <c r="A92" s="9" t="s">
        <v>561</v>
      </c>
      <c r="B92" s="9" t="s">
        <v>60</v>
      </c>
      <c r="E92" s="9" t="s">
        <v>147</v>
      </c>
      <c r="F92" s="9" t="s">
        <v>147</v>
      </c>
      <c r="G92" s="9" t="str">
        <f t="shared" si="3"/>
        <v>q100 = ? and _id = ?</v>
      </c>
      <c r="H92" s="170" t="str">
        <f>CONCATENATE("[ data('q100') , data('q14304_2c')  ]")</f>
        <v>[ data('q100') , data('q14304_2c')  ]</v>
      </c>
      <c r="I92" s="9" t="s">
        <v>379</v>
      </c>
      <c r="J92" s="398" t="s">
        <v>1291</v>
      </c>
      <c r="K92" s="398" t="s">
        <v>1291</v>
      </c>
      <c r="L92" s="9" t="s">
        <v>408</v>
      </c>
    </row>
    <row r="93" spans="1:15">
      <c r="A93" s="9" t="s">
        <v>562</v>
      </c>
      <c r="B93" s="9" t="s">
        <v>60</v>
      </c>
      <c r="E93" s="9" t="s">
        <v>147</v>
      </c>
      <c r="F93" s="9" t="s">
        <v>147</v>
      </c>
      <c r="G93" s="9" t="str">
        <f t="shared" si="3"/>
        <v>q100 = ? and _id = ?</v>
      </c>
      <c r="H93" s="170" t="str">
        <f>CONCATENATE("[ data('q100') , data('q14304_3a')  ]")</f>
        <v>[ data('q100') , data('q14304_3a')  ]</v>
      </c>
      <c r="I93" s="9" t="s">
        <v>379</v>
      </c>
      <c r="J93" s="398" t="s">
        <v>1291</v>
      </c>
      <c r="K93" s="398" t="s">
        <v>1291</v>
      </c>
      <c r="L93" s="9" t="s">
        <v>408</v>
      </c>
    </row>
    <row r="94" spans="1:15">
      <c r="A94" s="9" t="s">
        <v>563</v>
      </c>
      <c r="B94" s="9" t="s">
        <v>60</v>
      </c>
      <c r="E94" s="9" t="s">
        <v>147</v>
      </c>
      <c r="F94" s="9" t="s">
        <v>147</v>
      </c>
      <c r="G94" s="9" t="str">
        <f t="shared" si="3"/>
        <v>q100 = ? and _id = ?</v>
      </c>
      <c r="H94" s="170" t="str">
        <f>CONCATENATE("[ data('q100') , data('q14304_3b')  ]")</f>
        <v>[ data('q100') , data('q14304_3b')  ]</v>
      </c>
      <c r="I94" s="9" t="s">
        <v>379</v>
      </c>
      <c r="J94" s="398" t="s">
        <v>1291</v>
      </c>
      <c r="K94" s="398" t="s">
        <v>1291</v>
      </c>
      <c r="L94" s="9" t="s">
        <v>408</v>
      </c>
    </row>
    <row r="95" spans="1:15">
      <c r="A95" s="9" t="s">
        <v>564</v>
      </c>
      <c r="B95" s="9" t="s">
        <v>60</v>
      </c>
      <c r="E95" s="9" t="s">
        <v>147</v>
      </c>
      <c r="F95" s="9" t="s">
        <v>147</v>
      </c>
      <c r="G95" s="9" t="str">
        <f t="shared" si="3"/>
        <v>q100 = ? and _id = ?</v>
      </c>
      <c r="H95" s="170" t="str">
        <f>CONCATENATE("[ data('q100') , data('q14304_3c')  ]")</f>
        <v>[ data('q100') , data('q14304_3c')  ]</v>
      </c>
      <c r="I95" s="9" t="s">
        <v>379</v>
      </c>
      <c r="J95" s="398" t="s">
        <v>1291</v>
      </c>
      <c r="K95" s="398" t="s">
        <v>1291</v>
      </c>
      <c r="L95" s="9" t="s">
        <v>408</v>
      </c>
    </row>
    <row r="96" spans="1:15">
      <c r="A96" s="9" t="s">
        <v>565</v>
      </c>
      <c r="B96" s="9" t="s">
        <v>60</v>
      </c>
      <c r="E96" s="9" t="s">
        <v>147</v>
      </c>
      <c r="F96" s="9" t="s">
        <v>147</v>
      </c>
      <c r="G96" s="9" t="str">
        <f t="shared" si="3"/>
        <v>q100 = ? and _id = ?</v>
      </c>
      <c r="H96" s="170" t="str">
        <f>CONCATENATE("[ data('q100') , data('q14304_4a')  ]")</f>
        <v>[ data('q100') , data('q14304_4a')  ]</v>
      </c>
      <c r="I96" s="9" t="s">
        <v>379</v>
      </c>
      <c r="J96" s="398" t="s">
        <v>1291</v>
      </c>
      <c r="K96" s="398" t="s">
        <v>1291</v>
      </c>
      <c r="L96" s="9" t="s">
        <v>408</v>
      </c>
    </row>
    <row r="97" spans="1:12">
      <c r="A97" s="9" t="s">
        <v>566</v>
      </c>
      <c r="B97" s="9" t="s">
        <v>60</v>
      </c>
      <c r="E97" s="9" t="s">
        <v>147</v>
      </c>
      <c r="F97" s="9" t="s">
        <v>147</v>
      </c>
      <c r="G97" s="9" t="str">
        <f t="shared" si="3"/>
        <v>q100 = ? and _id = ?</v>
      </c>
      <c r="H97" s="170" t="str">
        <f>CONCATENATE("[ data('q100') , data('q14304_4b')  ]")</f>
        <v>[ data('q100') , data('q14304_4b')  ]</v>
      </c>
      <c r="I97" s="9" t="s">
        <v>379</v>
      </c>
      <c r="J97" s="398" t="s">
        <v>1291</v>
      </c>
      <c r="K97" s="398" t="s">
        <v>1291</v>
      </c>
      <c r="L97" s="9" t="s">
        <v>408</v>
      </c>
    </row>
    <row r="98" spans="1:12">
      <c r="A98" s="9" t="s">
        <v>567</v>
      </c>
      <c r="B98" s="9" t="s">
        <v>60</v>
      </c>
      <c r="E98" s="9" t="s">
        <v>147</v>
      </c>
      <c r="F98" s="9" t="s">
        <v>147</v>
      </c>
      <c r="G98" s="9" t="str">
        <f t="shared" si="3"/>
        <v>q100 = ? and _id = ?</v>
      </c>
      <c r="H98" s="170" t="str">
        <f>CONCATENATE("[ data('q100') , data('q14304_4c')  ]")</f>
        <v>[ data('q100') , data('q14304_4c')  ]</v>
      </c>
      <c r="I98" s="9" t="s">
        <v>379</v>
      </c>
      <c r="J98" s="398" t="s">
        <v>1291</v>
      </c>
      <c r="K98" s="398" t="s">
        <v>1291</v>
      </c>
      <c r="L98" s="9" t="s">
        <v>408</v>
      </c>
    </row>
    <row r="99" spans="1:12">
      <c r="A99" s="9" t="s">
        <v>568</v>
      </c>
      <c r="B99" s="9" t="s">
        <v>60</v>
      </c>
      <c r="E99" s="9" t="s">
        <v>147</v>
      </c>
      <c r="F99" s="9" t="s">
        <v>147</v>
      </c>
      <c r="G99" s="9" t="str">
        <f t="shared" si="3"/>
        <v>q100 = ? and _id = ?</v>
      </c>
      <c r="H99" s="170" t="str">
        <f>CONCATENATE("[ data('q100') , data('q14304_5a')  ]")</f>
        <v>[ data('q100') , data('q14304_5a')  ]</v>
      </c>
      <c r="I99" s="9" t="s">
        <v>379</v>
      </c>
      <c r="J99" s="398" t="s">
        <v>1291</v>
      </c>
      <c r="K99" s="398" t="s">
        <v>1291</v>
      </c>
      <c r="L99" s="9" t="s">
        <v>408</v>
      </c>
    </row>
    <row r="100" spans="1:12">
      <c r="A100" s="9" t="s">
        <v>569</v>
      </c>
      <c r="B100" s="9" t="s">
        <v>60</v>
      </c>
      <c r="E100" s="9" t="s">
        <v>147</v>
      </c>
      <c r="F100" s="9" t="s">
        <v>147</v>
      </c>
      <c r="G100" s="9" t="str">
        <f t="shared" si="3"/>
        <v>q100 = ? and _id = ?</v>
      </c>
      <c r="H100" s="170" t="str">
        <f>CONCATENATE("[ data('q100') , data('q14304_5b')  ]")</f>
        <v>[ data('q100') , data('q14304_5b')  ]</v>
      </c>
      <c r="I100" s="9" t="s">
        <v>379</v>
      </c>
      <c r="J100" s="398" t="s">
        <v>1291</v>
      </c>
      <c r="K100" s="398" t="s">
        <v>1291</v>
      </c>
      <c r="L100" s="9" t="s">
        <v>408</v>
      </c>
    </row>
    <row r="101" spans="1:12">
      <c r="A101" s="9" t="s">
        <v>570</v>
      </c>
      <c r="B101" s="9" t="s">
        <v>60</v>
      </c>
      <c r="E101" s="9" t="s">
        <v>147</v>
      </c>
      <c r="F101" s="9" t="s">
        <v>147</v>
      </c>
      <c r="G101" s="9" t="str">
        <f t="shared" si="3"/>
        <v>q100 = ? and _id = ?</v>
      </c>
      <c r="H101" s="170" t="str">
        <f>CONCATENATE("[ data('q100') , data('q14304_5c')  ]")</f>
        <v>[ data('q100') , data('q14304_5c')  ]</v>
      </c>
      <c r="I101" s="9" t="s">
        <v>379</v>
      </c>
      <c r="J101" s="398" t="s">
        <v>1291</v>
      </c>
      <c r="K101" s="398" t="s">
        <v>1291</v>
      </c>
      <c r="L101" s="9" t="s">
        <v>408</v>
      </c>
    </row>
    <row r="102" spans="1:12">
      <c r="A102" s="9" t="s">
        <v>571</v>
      </c>
      <c r="B102" s="9" t="s">
        <v>60</v>
      </c>
      <c r="E102" s="9" t="s">
        <v>147</v>
      </c>
      <c r="F102" s="9" t="s">
        <v>147</v>
      </c>
      <c r="G102" s="9" t="str">
        <f t="shared" si="3"/>
        <v>q100 = ? and _id = ?</v>
      </c>
      <c r="H102" s="170" t="str">
        <f>CONCATENATE("[ data('q100') , data('q14304_6a')  ]")</f>
        <v>[ data('q100') , data('q14304_6a')  ]</v>
      </c>
      <c r="I102" s="9" t="s">
        <v>379</v>
      </c>
      <c r="J102" s="398" t="s">
        <v>1291</v>
      </c>
      <c r="K102" s="398" t="s">
        <v>1291</v>
      </c>
      <c r="L102" s="9" t="s">
        <v>408</v>
      </c>
    </row>
    <row r="103" spans="1:12">
      <c r="A103" s="9" t="s">
        <v>572</v>
      </c>
      <c r="B103" s="9" t="s">
        <v>60</v>
      </c>
      <c r="E103" s="9" t="s">
        <v>147</v>
      </c>
      <c r="F103" s="9" t="s">
        <v>147</v>
      </c>
      <c r="G103" s="9" t="str">
        <f t="shared" si="3"/>
        <v>q100 = ? and _id = ?</v>
      </c>
      <c r="H103" s="170" t="str">
        <f>CONCATENATE("[ data('q100') , data('q14304_6b')  ]")</f>
        <v>[ data('q100') , data('q14304_6b')  ]</v>
      </c>
      <c r="I103" s="9" t="s">
        <v>379</v>
      </c>
      <c r="J103" s="398" t="s">
        <v>1291</v>
      </c>
      <c r="K103" s="398" t="s">
        <v>1291</v>
      </c>
      <c r="L103" s="9" t="s">
        <v>408</v>
      </c>
    </row>
    <row r="104" spans="1:12">
      <c r="A104" s="9" t="s">
        <v>573</v>
      </c>
      <c r="B104" s="9" t="s">
        <v>60</v>
      </c>
      <c r="E104" s="9" t="s">
        <v>147</v>
      </c>
      <c r="F104" s="9" t="s">
        <v>147</v>
      </c>
      <c r="G104" s="9" t="str">
        <f t="shared" si="3"/>
        <v>q100 = ? and _id = ?</v>
      </c>
      <c r="H104" s="170" t="str">
        <f>CONCATENATE("[ data('q100') , data('q14304_6c')  ]")</f>
        <v>[ data('q100') , data('q14304_6c')  ]</v>
      </c>
      <c r="I104" s="9" t="s">
        <v>379</v>
      </c>
      <c r="J104" s="398" t="s">
        <v>1291</v>
      </c>
      <c r="K104" s="398" t="s">
        <v>1291</v>
      </c>
      <c r="L104" s="9" t="s">
        <v>408</v>
      </c>
    </row>
    <row r="105" spans="1:12">
      <c r="A105" s="9" t="s">
        <v>574</v>
      </c>
      <c r="B105" s="9" t="s">
        <v>60</v>
      </c>
      <c r="E105" s="9" t="s">
        <v>147</v>
      </c>
      <c r="F105" s="9" t="s">
        <v>147</v>
      </c>
      <c r="G105" s="9" t="str">
        <f t="shared" si="3"/>
        <v>q100 = ? and _id = ?</v>
      </c>
      <c r="H105" s="170" t="str">
        <f>CONCATENATE("[ data('q100') , data('q14304_7a')  ]")</f>
        <v>[ data('q100') , data('q14304_7a')  ]</v>
      </c>
      <c r="I105" s="9" t="s">
        <v>379</v>
      </c>
      <c r="J105" s="398" t="s">
        <v>1291</v>
      </c>
      <c r="K105" s="398" t="s">
        <v>1291</v>
      </c>
      <c r="L105" s="9" t="s">
        <v>408</v>
      </c>
    </row>
    <row r="106" spans="1:12">
      <c r="A106" s="9" t="s">
        <v>575</v>
      </c>
      <c r="B106" s="9" t="s">
        <v>60</v>
      </c>
      <c r="E106" s="9" t="s">
        <v>147</v>
      </c>
      <c r="F106" s="9" t="s">
        <v>147</v>
      </c>
      <c r="G106" s="9" t="str">
        <f t="shared" si="3"/>
        <v>q100 = ? and _id = ?</v>
      </c>
      <c r="H106" s="170" t="str">
        <f>CONCATENATE("[ data('q100') , data('q14304_7b')  ]")</f>
        <v>[ data('q100') , data('q14304_7b')  ]</v>
      </c>
      <c r="I106" s="9" t="s">
        <v>379</v>
      </c>
      <c r="J106" s="398" t="s">
        <v>1291</v>
      </c>
      <c r="K106" s="398" t="s">
        <v>1291</v>
      </c>
      <c r="L106" s="9" t="s">
        <v>408</v>
      </c>
    </row>
    <row r="107" spans="1:12">
      <c r="A107" s="9" t="s">
        <v>576</v>
      </c>
      <c r="B107" s="9" t="s">
        <v>60</v>
      </c>
      <c r="E107" s="9" t="s">
        <v>147</v>
      </c>
      <c r="F107" s="9" t="s">
        <v>147</v>
      </c>
      <c r="G107" s="9" t="str">
        <f t="shared" si="3"/>
        <v>q100 = ? and _id = ?</v>
      </c>
      <c r="H107" s="170" t="str">
        <f>CONCATENATE("[ data('q100') , data('q14304_7c')  ]")</f>
        <v>[ data('q100') , data('q14304_7c')  ]</v>
      </c>
      <c r="I107" s="9" t="s">
        <v>379</v>
      </c>
      <c r="J107" s="398" t="s">
        <v>1291</v>
      </c>
      <c r="K107" s="398" t="s">
        <v>1291</v>
      </c>
      <c r="L107" s="9" t="s">
        <v>408</v>
      </c>
    </row>
    <row r="108" spans="1:12">
      <c r="A108" s="9" t="s">
        <v>577</v>
      </c>
      <c r="B108" s="9" t="s">
        <v>60</v>
      </c>
      <c r="E108" s="9" t="s">
        <v>147</v>
      </c>
      <c r="F108" s="9" t="s">
        <v>147</v>
      </c>
      <c r="G108" s="9" t="str">
        <f t="shared" si="3"/>
        <v>q100 = ? and _id = ?</v>
      </c>
      <c r="H108" s="170" t="str">
        <f>CONCATENATE("[ data('q100') , data('q14304_8a')  ]")</f>
        <v>[ data('q100') , data('q14304_8a')  ]</v>
      </c>
      <c r="I108" s="9" t="s">
        <v>379</v>
      </c>
      <c r="J108" s="398" t="s">
        <v>1291</v>
      </c>
      <c r="K108" s="398" t="s">
        <v>1291</v>
      </c>
      <c r="L108" s="9" t="s">
        <v>408</v>
      </c>
    </row>
    <row r="109" spans="1:12">
      <c r="A109" s="9" t="s">
        <v>578</v>
      </c>
      <c r="B109" s="9" t="s">
        <v>60</v>
      </c>
      <c r="E109" s="9" t="s">
        <v>147</v>
      </c>
      <c r="F109" s="9" t="s">
        <v>147</v>
      </c>
      <c r="G109" s="9" t="str">
        <f t="shared" si="3"/>
        <v>q100 = ? and _id = ?</v>
      </c>
      <c r="H109" s="170" t="str">
        <f>CONCATENATE("[ data('q100') , data('q14304_8b')  ]")</f>
        <v>[ data('q100') , data('q14304_8b')  ]</v>
      </c>
      <c r="I109" s="9" t="s">
        <v>379</v>
      </c>
      <c r="J109" s="398" t="s">
        <v>1291</v>
      </c>
      <c r="K109" s="398" t="s">
        <v>1291</v>
      </c>
      <c r="L109" s="9" t="s">
        <v>408</v>
      </c>
    </row>
    <row r="110" spans="1:12">
      <c r="A110" s="9" t="s">
        <v>579</v>
      </c>
      <c r="B110" s="9" t="s">
        <v>60</v>
      </c>
      <c r="E110" s="9" t="s">
        <v>147</v>
      </c>
      <c r="F110" s="9" t="s">
        <v>147</v>
      </c>
      <c r="G110" s="9" t="str">
        <f t="shared" si="3"/>
        <v>q100 = ? and _id = ?</v>
      </c>
      <c r="H110" s="170" t="str">
        <f>CONCATENATE("[ data('q100') , data('q14304_8c')  ]")</f>
        <v>[ data('q100') , data('q14304_8c')  ]</v>
      </c>
      <c r="I110" s="9" t="s">
        <v>379</v>
      </c>
      <c r="J110" s="398" t="s">
        <v>1291</v>
      </c>
      <c r="K110" s="398" t="s">
        <v>1291</v>
      </c>
      <c r="L110" s="9" t="s">
        <v>408</v>
      </c>
    </row>
    <row r="111" spans="1:12">
      <c r="A111" s="9" t="s">
        <v>580</v>
      </c>
      <c r="B111" s="9" t="s">
        <v>60</v>
      </c>
      <c r="E111" s="9" t="s">
        <v>147</v>
      </c>
      <c r="F111" s="9" t="s">
        <v>147</v>
      </c>
      <c r="G111" s="9" t="str">
        <f t="shared" si="3"/>
        <v>q100 = ? and _id = ?</v>
      </c>
      <c r="H111" s="170" t="str">
        <f>CONCATENATE("[ data('q100') , data('q14304_9a')  ]")</f>
        <v>[ data('q100') , data('q14304_9a')  ]</v>
      </c>
      <c r="I111" s="9" t="s">
        <v>379</v>
      </c>
      <c r="J111" s="398" t="s">
        <v>1291</v>
      </c>
      <c r="K111" s="398" t="s">
        <v>1291</v>
      </c>
      <c r="L111" s="9" t="s">
        <v>408</v>
      </c>
    </row>
    <row r="112" spans="1:12">
      <c r="A112" s="9" t="s">
        <v>581</v>
      </c>
      <c r="B112" s="9" t="s">
        <v>60</v>
      </c>
      <c r="E112" s="9" t="s">
        <v>147</v>
      </c>
      <c r="F112" s="9" t="s">
        <v>147</v>
      </c>
      <c r="G112" s="9" t="str">
        <f t="shared" si="3"/>
        <v>q100 = ? and _id = ?</v>
      </c>
      <c r="H112" s="170" t="str">
        <f>CONCATENATE("[ data('q100') , data('q14304_9b')  ]")</f>
        <v>[ data('q100') , data('q14304_9b')  ]</v>
      </c>
      <c r="I112" s="9" t="s">
        <v>379</v>
      </c>
      <c r="J112" s="398" t="s">
        <v>1291</v>
      </c>
      <c r="K112" s="398" t="s">
        <v>1291</v>
      </c>
      <c r="L112" s="9" t="s">
        <v>408</v>
      </c>
    </row>
    <row r="113" spans="1:13">
      <c r="A113" s="9" t="s">
        <v>582</v>
      </c>
      <c r="B113" s="9" t="s">
        <v>60</v>
      </c>
      <c r="E113" s="9" t="s">
        <v>147</v>
      </c>
      <c r="F113" s="9" t="s">
        <v>147</v>
      </c>
      <c r="G113" s="9" t="str">
        <f t="shared" si="3"/>
        <v>q100 = ? and _id = ?</v>
      </c>
      <c r="H113" s="170" t="str">
        <f>CONCATENATE("[ data('q100') , data('q14304_9c')  ]")</f>
        <v>[ data('q100') , data('q14304_9c')  ]</v>
      </c>
      <c r="I113" s="9" t="s">
        <v>379</v>
      </c>
      <c r="J113" s="398" t="s">
        <v>1291</v>
      </c>
      <c r="K113" s="398" t="s">
        <v>1291</v>
      </c>
      <c r="L113" s="9" t="s">
        <v>408</v>
      </c>
    </row>
    <row r="114" spans="1:13">
      <c r="A114" s="9" t="s">
        <v>583</v>
      </c>
      <c r="B114" s="9" t="s">
        <v>60</v>
      </c>
      <c r="E114" s="9" t="s">
        <v>147</v>
      </c>
      <c r="F114" s="9" t="s">
        <v>147</v>
      </c>
      <c r="G114" s="9" t="str">
        <f t="shared" si="3"/>
        <v>q100 = ? and _id = ?</v>
      </c>
      <c r="H114" s="170" t="str">
        <f>CONCATENATE("[ data('q100') , data('q14304_10a')  ]")</f>
        <v>[ data('q100') , data('q14304_10a')  ]</v>
      </c>
      <c r="I114" s="9" t="s">
        <v>379</v>
      </c>
      <c r="J114" s="398" t="s">
        <v>1291</v>
      </c>
      <c r="K114" s="398" t="s">
        <v>1291</v>
      </c>
      <c r="L114" s="9" t="s">
        <v>408</v>
      </c>
    </row>
    <row r="115" spans="1:13">
      <c r="A115" s="9" t="s">
        <v>584</v>
      </c>
      <c r="B115" s="9" t="s">
        <v>60</v>
      </c>
      <c r="E115" s="9" t="s">
        <v>147</v>
      </c>
      <c r="F115" s="9" t="s">
        <v>147</v>
      </c>
      <c r="G115" s="9" t="str">
        <f t="shared" si="3"/>
        <v>q100 = ? and _id = ?</v>
      </c>
      <c r="H115" s="170" t="str">
        <f>CONCATENATE("[ data('q100') , data('q14304_10b')  ]")</f>
        <v>[ data('q100') , data('q14304_10b')  ]</v>
      </c>
      <c r="I115" s="9" t="s">
        <v>379</v>
      </c>
      <c r="J115" s="398" t="s">
        <v>1291</v>
      </c>
      <c r="K115" s="398" t="s">
        <v>1291</v>
      </c>
      <c r="L115" s="9" t="s">
        <v>408</v>
      </c>
    </row>
    <row r="116" spans="1:13">
      <c r="A116" s="9" t="s">
        <v>585</v>
      </c>
      <c r="B116" s="9" t="s">
        <v>60</v>
      </c>
      <c r="E116" s="9" t="s">
        <v>147</v>
      </c>
      <c r="F116" s="9" t="s">
        <v>147</v>
      </c>
      <c r="G116" s="9" t="str">
        <f t="shared" si="3"/>
        <v>q100 = ? and _id = ?</v>
      </c>
      <c r="H116" s="170" t="str">
        <f>CONCATENATE("[ data('q100') , data('q14304_10c')  ]")</f>
        <v>[ data('q100') , data('q14304_10c')  ]</v>
      </c>
      <c r="I116" s="9" t="s">
        <v>379</v>
      </c>
      <c r="J116" s="398" t="s">
        <v>1291</v>
      </c>
      <c r="K116" s="398" t="s">
        <v>1291</v>
      </c>
      <c r="L116" s="9" t="s">
        <v>408</v>
      </c>
    </row>
    <row r="117" spans="1:13" s="19" customFormat="1" ht="15" customHeight="1">
      <c r="A117" s="8"/>
      <c r="B117" s="18"/>
      <c r="C117" s="18"/>
      <c r="D117" s="18"/>
      <c r="E117" s="9"/>
      <c r="F117" s="9"/>
      <c r="G117" s="30"/>
      <c r="H117" s="9"/>
      <c r="I117" s="9"/>
      <c r="J117" s="31"/>
      <c r="L117" s="18"/>
    </row>
    <row r="118" spans="1:13" s="18" customFormat="1" ht="15" customHeight="1">
      <c r="A118" s="63" t="s">
        <v>295</v>
      </c>
      <c r="B118" s="19" t="s">
        <v>60</v>
      </c>
      <c r="C118" s="19"/>
      <c r="D118" s="19"/>
      <c r="E118" s="16" t="s">
        <v>296</v>
      </c>
      <c r="F118" s="16" t="s">
        <v>296</v>
      </c>
      <c r="G118" s="146" t="s">
        <v>199</v>
      </c>
      <c r="H118" s="68" t="s">
        <v>200</v>
      </c>
      <c r="I118" s="69" t="s">
        <v>201</v>
      </c>
      <c r="J118" s="396" t="s">
        <v>1293</v>
      </c>
      <c r="K118" s="397" t="s">
        <v>1291</v>
      </c>
      <c r="L118" s="19"/>
      <c r="M118" s="19" t="s">
        <v>1534</v>
      </c>
    </row>
    <row r="119" spans="1:13" s="19" customFormat="1" ht="15" customHeight="1">
      <c r="A119" s="63" t="s">
        <v>297</v>
      </c>
      <c r="B119" s="19" t="s">
        <v>60</v>
      </c>
      <c r="E119" s="16" t="s">
        <v>298</v>
      </c>
      <c r="F119" s="16" t="s">
        <v>296</v>
      </c>
      <c r="G119" s="146" t="s">
        <v>199</v>
      </c>
      <c r="H119" s="68" t="s">
        <v>200</v>
      </c>
      <c r="I119" s="69" t="s">
        <v>201</v>
      </c>
      <c r="J119" s="396" t="s">
        <v>1293</v>
      </c>
      <c r="K119" s="397" t="s">
        <v>1291</v>
      </c>
      <c r="M119" s="19" t="s">
        <v>1534</v>
      </c>
    </row>
    <row r="120" spans="1:13" s="18" customFormat="1">
      <c r="A120" s="169" t="s">
        <v>590</v>
      </c>
      <c r="B120" s="18" t="s">
        <v>60</v>
      </c>
      <c r="E120" s="16" t="s">
        <v>298</v>
      </c>
      <c r="F120" s="16" t="s">
        <v>296</v>
      </c>
      <c r="G120" s="18" t="str">
        <f>CONCATENATE("q100 = ? and enter_3_15_1_update = ?")</f>
        <v>q100 = ? and enter_3_15_1_update = ?</v>
      </c>
      <c r="H120" s="170" t="str">
        <f>CONCATENATE("[ data('q100') , '1' ]")</f>
        <v>[ data('q100') , '1' ]</v>
      </c>
      <c r="I120" s="171" t="s">
        <v>379</v>
      </c>
      <c r="J120" s="398" t="s">
        <v>1291</v>
      </c>
      <c r="K120" s="398" t="s">
        <v>1291</v>
      </c>
    </row>
    <row r="121" spans="1:13" s="18" customFormat="1">
      <c r="A121" s="169" t="s">
        <v>591</v>
      </c>
      <c r="B121" s="18" t="s">
        <v>60</v>
      </c>
      <c r="E121" s="16" t="s">
        <v>298</v>
      </c>
      <c r="F121" s="16" t="s">
        <v>296</v>
      </c>
      <c r="G121" s="18" t="str">
        <f>CONCATENATE("q100 = ? and _savepoint_type = ?")</f>
        <v>q100 = ? and _savepoint_type = ?</v>
      </c>
      <c r="H121" s="170" t="str">
        <f>CONCATENATE("[ data('q100') , 'COMPLETE' ]")</f>
        <v>[ data('q100') , 'COMPLETE' ]</v>
      </c>
      <c r="I121" s="171" t="s">
        <v>379</v>
      </c>
      <c r="J121" s="398" t="s">
        <v>1291</v>
      </c>
      <c r="K121" s="398" t="s">
        <v>1291</v>
      </c>
    </row>
    <row r="122" spans="1:13" s="19" customFormat="1" ht="15" customHeight="1">
      <c r="A122" s="63"/>
      <c r="E122" s="16"/>
      <c r="F122" s="16"/>
      <c r="G122" s="146"/>
      <c r="H122" s="68"/>
      <c r="I122" s="69"/>
      <c r="J122" s="31"/>
    </row>
    <row r="123" spans="1:13" s="19" customFormat="1" ht="15" customHeight="1">
      <c r="A123" s="19" t="s">
        <v>299</v>
      </c>
      <c r="B123" s="19" t="s">
        <v>60</v>
      </c>
      <c r="E123" s="68" t="s">
        <v>300</v>
      </c>
      <c r="F123" s="68" t="s">
        <v>300</v>
      </c>
      <c r="G123" s="146" t="s">
        <v>199</v>
      </c>
      <c r="H123" s="68" t="s">
        <v>200</v>
      </c>
      <c r="I123" s="69" t="s">
        <v>201</v>
      </c>
      <c r="J123" s="396" t="s">
        <v>1293</v>
      </c>
      <c r="K123" s="397" t="s">
        <v>1291</v>
      </c>
      <c r="M123" s="19" t="s">
        <v>1535</v>
      </c>
    </row>
    <row r="124" spans="1:13" s="19" customFormat="1" ht="15" customHeight="1">
      <c r="A124" s="19" t="s">
        <v>686</v>
      </c>
      <c r="B124" s="19" t="s">
        <v>60</v>
      </c>
      <c r="E124" s="68" t="s">
        <v>687</v>
      </c>
      <c r="F124" s="68" t="s">
        <v>300</v>
      </c>
      <c r="G124" s="146" t="s">
        <v>199</v>
      </c>
      <c r="H124" s="68" t="s">
        <v>200</v>
      </c>
      <c r="I124" s="69" t="s">
        <v>201</v>
      </c>
      <c r="J124" s="396" t="s">
        <v>1293</v>
      </c>
      <c r="K124" s="397" t="s">
        <v>1291</v>
      </c>
      <c r="M124" s="19" t="s">
        <v>1535</v>
      </c>
    </row>
    <row r="125" spans="1:13" s="18" customFormat="1">
      <c r="A125" s="169" t="s">
        <v>681</v>
      </c>
      <c r="B125" s="18" t="s">
        <v>60</v>
      </c>
      <c r="E125" s="68" t="s">
        <v>687</v>
      </c>
      <c r="F125" s="68" t="s">
        <v>300</v>
      </c>
      <c r="G125" s="18" t="str">
        <f>CONCATENATE("q100 = ? and enter_3_16_4_update = ?")</f>
        <v>q100 = ? and enter_3_16_4_update = ?</v>
      </c>
      <c r="H125" s="170" t="str">
        <f>CONCATENATE("[ data('q100') , '1' ]")</f>
        <v>[ data('q100') , '1' ]</v>
      </c>
      <c r="I125" s="171" t="s">
        <v>379</v>
      </c>
      <c r="J125" s="398" t="s">
        <v>1291</v>
      </c>
      <c r="K125" s="398" t="s">
        <v>1291</v>
      </c>
    </row>
    <row r="126" spans="1:13" s="18" customFormat="1">
      <c r="A126" s="169" t="s">
        <v>682</v>
      </c>
      <c r="B126" s="18" t="s">
        <v>60</v>
      </c>
      <c r="E126" s="68" t="s">
        <v>687</v>
      </c>
      <c r="F126" s="68" t="s">
        <v>300</v>
      </c>
      <c r="G126" s="18" t="str">
        <f>CONCATENATE("q100 = ? and _savepoint_type = ?")</f>
        <v>q100 = ? and _savepoint_type = ?</v>
      </c>
      <c r="H126" s="170" t="str">
        <f>CONCATENATE("[ data('q100') , 'COMPLETE' ]")</f>
        <v>[ data('q100') , 'COMPLETE' ]</v>
      </c>
      <c r="I126" s="171" t="s">
        <v>379</v>
      </c>
      <c r="J126" s="398" t="s">
        <v>1291</v>
      </c>
      <c r="K126" s="398" t="s">
        <v>1291</v>
      </c>
    </row>
    <row r="127" spans="1:13" s="19" customFormat="1" ht="15" customHeight="1">
      <c r="A127" s="9"/>
      <c r="B127" s="9"/>
      <c r="C127" s="9"/>
      <c r="D127" s="9"/>
      <c r="E127" s="9"/>
      <c r="F127" s="9"/>
      <c r="G127" s="30"/>
      <c r="H127" s="9"/>
      <c r="I127" s="9"/>
      <c r="J127" s="31"/>
      <c r="L127" s="9"/>
    </row>
    <row r="128" spans="1:13" ht="15" customHeight="1">
      <c r="A128" s="174"/>
      <c r="G128" s="9"/>
      <c r="H128" s="170"/>
    </row>
    <row r="129" spans="1:12" ht="15" customHeight="1">
      <c r="A129" s="174" t="s">
        <v>608</v>
      </c>
      <c r="B129" s="19" t="s">
        <v>60</v>
      </c>
      <c r="E129" s="9" t="s">
        <v>147</v>
      </c>
      <c r="F129" s="9" t="s">
        <v>147</v>
      </c>
      <c r="G129" s="9" t="s">
        <v>607</v>
      </c>
      <c r="H129" s="170" t="s">
        <v>719</v>
      </c>
      <c r="I129" s="171" t="s">
        <v>379</v>
      </c>
      <c r="J129" s="398" t="s">
        <v>1291</v>
      </c>
      <c r="K129" s="398" t="s">
        <v>1291</v>
      </c>
      <c r="L129" s="9" t="s">
        <v>408</v>
      </c>
    </row>
    <row r="130" spans="1:12" ht="15" customHeight="1">
      <c r="A130" s="174" t="s">
        <v>609</v>
      </c>
      <c r="B130" s="19" t="s">
        <v>60</v>
      </c>
      <c r="E130" s="9" t="s">
        <v>147</v>
      </c>
      <c r="F130" s="9" t="s">
        <v>147</v>
      </c>
      <c r="G130" s="9" t="s">
        <v>607</v>
      </c>
      <c r="H130" s="170" t="s">
        <v>720</v>
      </c>
      <c r="I130" s="171" t="s">
        <v>379</v>
      </c>
      <c r="J130" s="398" t="s">
        <v>1291</v>
      </c>
      <c r="K130" s="398" t="s">
        <v>1291</v>
      </c>
      <c r="L130" s="9" t="s">
        <v>408</v>
      </c>
    </row>
    <row r="131" spans="1:12" ht="15" customHeight="1">
      <c r="A131" s="174" t="s">
        <v>610</v>
      </c>
      <c r="B131" s="19" t="s">
        <v>60</v>
      </c>
      <c r="E131" s="9" t="s">
        <v>147</v>
      </c>
      <c r="F131" s="9" t="s">
        <v>147</v>
      </c>
      <c r="G131" s="9" t="s">
        <v>607</v>
      </c>
      <c r="H131" s="170" t="s">
        <v>721</v>
      </c>
      <c r="I131" s="171" t="s">
        <v>379</v>
      </c>
      <c r="J131" s="398" t="s">
        <v>1291</v>
      </c>
      <c r="K131" s="398" t="s">
        <v>1291</v>
      </c>
      <c r="L131" s="9" t="s">
        <v>408</v>
      </c>
    </row>
    <row r="132" spans="1:12" ht="15" customHeight="1">
      <c r="A132" s="174" t="s">
        <v>616</v>
      </c>
      <c r="B132" s="19" t="s">
        <v>60</v>
      </c>
      <c r="E132" s="9" t="s">
        <v>147</v>
      </c>
      <c r="F132" s="9" t="s">
        <v>147</v>
      </c>
      <c r="G132" s="9" t="s">
        <v>607</v>
      </c>
      <c r="H132" s="170" t="s">
        <v>722</v>
      </c>
      <c r="I132" s="171" t="s">
        <v>379</v>
      </c>
      <c r="J132" s="398" t="s">
        <v>1291</v>
      </c>
      <c r="K132" s="398" t="s">
        <v>1291</v>
      </c>
      <c r="L132" s="9" t="s">
        <v>408</v>
      </c>
    </row>
    <row r="133" spans="1:12" ht="15" customHeight="1">
      <c r="A133" s="174" t="s">
        <v>617</v>
      </c>
      <c r="B133" s="19" t="s">
        <v>60</v>
      </c>
      <c r="E133" s="9" t="s">
        <v>147</v>
      </c>
      <c r="F133" s="9" t="s">
        <v>147</v>
      </c>
      <c r="G133" s="9" t="s">
        <v>607</v>
      </c>
      <c r="H133" s="170" t="s">
        <v>723</v>
      </c>
      <c r="I133" s="171" t="s">
        <v>379</v>
      </c>
      <c r="J133" s="398" t="s">
        <v>1291</v>
      </c>
      <c r="K133" s="398" t="s">
        <v>1291</v>
      </c>
      <c r="L133" s="9" t="s">
        <v>408</v>
      </c>
    </row>
    <row r="134" spans="1:12" ht="15" customHeight="1">
      <c r="A134" s="174" t="s">
        <v>618</v>
      </c>
      <c r="B134" s="19" t="s">
        <v>60</v>
      </c>
      <c r="E134" s="9" t="s">
        <v>147</v>
      </c>
      <c r="F134" s="9" t="s">
        <v>147</v>
      </c>
      <c r="G134" s="9" t="s">
        <v>607</v>
      </c>
      <c r="H134" s="170" t="s">
        <v>724</v>
      </c>
      <c r="I134" s="171" t="s">
        <v>379</v>
      </c>
      <c r="J134" s="398" t="s">
        <v>1291</v>
      </c>
      <c r="K134" s="398" t="s">
        <v>1291</v>
      </c>
      <c r="L134" s="9" t="s">
        <v>408</v>
      </c>
    </row>
    <row r="135" spans="1:12" ht="15" customHeight="1">
      <c r="A135" s="174" t="s">
        <v>619</v>
      </c>
      <c r="B135" s="19" t="s">
        <v>60</v>
      </c>
      <c r="E135" s="9" t="s">
        <v>147</v>
      </c>
      <c r="F135" s="9" t="s">
        <v>147</v>
      </c>
      <c r="G135" s="9" t="s">
        <v>607</v>
      </c>
      <c r="H135" s="170" t="s">
        <v>725</v>
      </c>
      <c r="I135" s="171" t="s">
        <v>379</v>
      </c>
      <c r="J135" s="398" t="s">
        <v>1291</v>
      </c>
      <c r="K135" s="398" t="s">
        <v>1291</v>
      </c>
      <c r="L135" s="9" t="s">
        <v>408</v>
      </c>
    </row>
    <row r="136" spans="1:12" ht="15" customHeight="1">
      <c r="A136" s="174" t="s">
        <v>620</v>
      </c>
      <c r="B136" s="19" t="s">
        <v>60</v>
      </c>
      <c r="E136" s="9" t="s">
        <v>147</v>
      </c>
      <c r="F136" s="9" t="s">
        <v>147</v>
      </c>
      <c r="G136" s="9" t="s">
        <v>607</v>
      </c>
      <c r="H136" s="170" t="s">
        <v>726</v>
      </c>
      <c r="I136" s="171" t="s">
        <v>379</v>
      </c>
      <c r="J136" s="398" t="s">
        <v>1291</v>
      </c>
      <c r="K136" s="398" t="s">
        <v>1291</v>
      </c>
      <c r="L136" s="9" t="s">
        <v>408</v>
      </c>
    </row>
    <row r="137" spans="1:12" ht="15" customHeight="1">
      <c r="A137" s="174" t="s">
        <v>621</v>
      </c>
      <c r="B137" s="19" t="s">
        <v>60</v>
      </c>
      <c r="E137" s="9" t="s">
        <v>147</v>
      </c>
      <c r="F137" s="9" t="s">
        <v>147</v>
      </c>
      <c r="G137" s="9" t="s">
        <v>607</v>
      </c>
      <c r="H137" s="170" t="s">
        <v>727</v>
      </c>
      <c r="I137" s="171" t="s">
        <v>379</v>
      </c>
      <c r="J137" s="398" t="s">
        <v>1291</v>
      </c>
      <c r="K137" s="398" t="s">
        <v>1291</v>
      </c>
      <c r="L137" s="9" t="s">
        <v>408</v>
      </c>
    </row>
    <row r="138" spans="1:12" ht="15" customHeight="1">
      <c r="A138" s="174" t="s">
        <v>622</v>
      </c>
      <c r="B138" s="19" t="s">
        <v>60</v>
      </c>
      <c r="E138" s="9" t="s">
        <v>147</v>
      </c>
      <c r="F138" s="9" t="s">
        <v>147</v>
      </c>
      <c r="G138" s="9" t="s">
        <v>607</v>
      </c>
      <c r="H138" s="170" t="s">
        <v>728</v>
      </c>
      <c r="I138" s="171" t="s">
        <v>379</v>
      </c>
      <c r="J138" s="398" t="s">
        <v>1291</v>
      </c>
      <c r="K138" s="398" t="s">
        <v>1291</v>
      </c>
      <c r="L138" s="9" t="s">
        <v>408</v>
      </c>
    </row>
    <row r="139" spans="1:12" ht="15" customHeight="1">
      <c r="A139" s="174" t="s">
        <v>623</v>
      </c>
      <c r="B139" s="19" t="s">
        <v>60</v>
      </c>
      <c r="E139" s="9" t="s">
        <v>147</v>
      </c>
      <c r="F139" s="9" t="s">
        <v>147</v>
      </c>
      <c r="G139" s="9" t="s">
        <v>607</v>
      </c>
      <c r="H139" s="170" t="s">
        <v>729</v>
      </c>
      <c r="I139" s="171" t="s">
        <v>379</v>
      </c>
      <c r="J139" s="398" t="s">
        <v>1291</v>
      </c>
      <c r="K139" s="398" t="s">
        <v>1291</v>
      </c>
      <c r="L139" s="9" t="s">
        <v>408</v>
      </c>
    </row>
    <row r="140" spans="1:12" ht="15" customHeight="1">
      <c r="A140" s="174" t="s">
        <v>624</v>
      </c>
      <c r="B140" s="19" t="s">
        <v>60</v>
      </c>
      <c r="E140" s="9" t="s">
        <v>147</v>
      </c>
      <c r="F140" s="9" t="s">
        <v>147</v>
      </c>
      <c r="G140" s="9" t="s">
        <v>607</v>
      </c>
      <c r="H140" s="170" t="s">
        <v>730</v>
      </c>
      <c r="I140" s="171" t="s">
        <v>379</v>
      </c>
      <c r="J140" s="398" t="s">
        <v>1291</v>
      </c>
      <c r="K140" s="398" t="s">
        <v>1291</v>
      </c>
      <c r="L140" s="9" t="s">
        <v>408</v>
      </c>
    </row>
    <row r="141" spans="1:12" ht="15" customHeight="1">
      <c r="A141" s="174" t="s">
        <v>625</v>
      </c>
      <c r="B141" s="19" t="s">
        <v>60</v>
      </c>
      <c r="E141" s="9" t="s">
        <v>147</v>
      </c>
      <c r="F141" s="9" t="s">
        <v>147</v>
      </c>
      <c r="G141" s="9" t="s">
        <v>607</v>
      </c>
      <c r="H141" s="170" t="s">
        <v>731</v>
      </c>
      <c r="I141" s="171" t="s">
        <v>379</v>
      </c>
      <c r="J141" s="398" t="s">
        <v>1291</v>
      </c>
      <c r="K141" s="398" t="s">
        <v>1291</v>
      </c>
      <c r="L141" s="9" t="s">
        <v>408</v>
      </c>
    </row>
    <row r="142" spans="1:12" ht="15" customHeight="1">
      <c r="A142" s="174" t="s">
        <v>626</v>
      </c>
      <c r="B142" s="19" t="s">
        <v>60</v>
      </c>
      <c r="E142" s="9" t="s">
        <v>147</v>
      </c>
      <c r="F142" s="9" t="s">
        <v>147</v>
      </c>
      <c r="G142" s="9" t="s">
        <v>607</v>
      </c>
      <c r="H142" s="170" t="s">
        <v>732</v>
      </c>
      <c r="I142" s="171" t="s">
        <v>379</v>
      </c>
      <c r="J142" s="398" t="s">
        <v>1291</v>
      </c>
      <c r="K142" s="398" t="s">
        <v>1291</v>
      </c>
      <c r="L142" s="9" t="s">
        <v>408</v>
      </c>
    </row>
    <row r="143" spans="1:12" ht="15" customHeight="1">
      <c r="A143" s="174" t="s">
        <v>627</v>
      </c>
      <c r="B143" s="19" t="s">
        <v>60</v>
      </c>
      <c r="E143" s="9" t="s">
        <v>147</v>
      </c>
      <c r="F143" s="9" t="s">
        <v>147</v>
      </c>
      <c r="G143" s="9" t="s">
        <v>607</v>
      </c>
      <c r="H143" s="170" t="s">
        <v>733</v>
      </c>
      <c r="I143" s="171" t="s">
        <v>379</v>
      </c>
      <c r="J143" s="398" t="s">
        <v>1291</v>
      </c>
      <c r="K143" s="398" t="s">
        <v>1291</v>
      </c>
      <c r="L143" s="9" t="s">
        <v>408</v>
      </c>
    </row>
    <row r="144" spans="1:12" ht="15" customHeight="1">
      <c r="A144" s="174" t="s">
        <v>628</v>
      </c>
      <c r="B144" s="19" t="s">
        <v>60</v>
      </c>
      <c r="E144" s="9" t="s">
        <v>147</v>
      </c>
      <c r="F144" s="9" t="s">
        <v>147</v>
      </c>
      <c r="G144" s="9" t="s">
        <v>607</v>
      </c>
      <c r="H144" s="170" t="s">
        <v>734</v>
      </c>
      <c r="I144" s="171" t="s">
        <v>379</v>
      </c>
      <c r="J144" s="398" t="s">
        <v>1291</v>
      </c>
      <c r="K144" s="398" t="s">
        <v>1291</v>
      </c>
      <c r="L144" s="9" t="s">
        <v>408</v>
      </c>
    </row>
    <row r="145" spans="1:14" ht="15" customHeight="1">
      <c r="A145" s="174" t="s">
        <v>629</v>
      </c>
      <c r="B145" s="19" t="s">
        <v>60</v>
      </c>
      <c r="E145" s="9" t="s">
        <v>147</v>
      </c>
      <c r="F145" s="9" t="s">
        <v>147</v>
      </c>
      <c r="G145" s="9" t="s">
        <v>607</v>
      </c>
      <c r="H145" s="170" t="s">
        <v>735</v>
      </c>
      <c r="I145" s="171" t="s">
        <v>379</v>
      </c>
      <c r="J145" s="398" t="s">
        <v>1291</v>
      </c>
      <c r="K145" s="398" t="s">
        <v>1291</v>
      </c>
      <c r="L145" s="9" t="s">
        <v>408</v>
      </c>
    </row>
    <row r="146" spans="1:14" ht="15" customHeight="1">
      <c r="A146" s="174" t="s">
        <v>630</v>
      </c>
      <c r="B146" s="19" t="s">
        <v>60</v>
      </c>
      <c r="E146" s="9" t="s">
        <v>147</v>
      </c>
      <c r="F146" s="9" t="s">
        <v>147</v>
      </c>
      <c r="G146" s="9" t="s">
        <v>607</v>
      </c>
      <c r="H146" s="170" t="s">
        <v>736</v>
      </c>
      <c r="I146" s="171" t="s">
        <v>379</v>
      </c>
      <c r="J146" s="398" t="s">
        <v>1291</v>
      </c>
      <c r="K146" s="398" t="s">
        <v>1291</v>
      </c>
      <c r="L146" s="9" t="s">
        <v>408</v>
      </c>
    </row>
    <row r="147" spans="1:14" ht="15" customHeight="1">
      <c r="A147" s="174" t="s">
        <v>631</v>
      </c>
      <c r="B147" s="19" t="s">
        <v>60</v>
      </c>
      <c r="E147" s="9" t="s">
        <v>147</v>
      </c>
      <c r="F147" s="9" t="s">
        <v>147</v>
      </c>
      <c r="G147" s="9" t="s">
        <v>607</v>
      </c>
      <c r="H147" s="170" t="s">
        <v>737</v>
      </c>
      <c r="I147" s="171" t="s">
        <v>379</v>
      </c>
      <c r="J147" s="398" t="s">
        <v>1291</v>
      </c>
      <c r="K147" s="398" t="s">
        <v>1291</v>
      </c>
      <c r="L147" s="9" t="s">
        <v>408</v>
      </c>
    </row>
    <row r="148" spans="1:14" ht="15" customHeight="1">
      <c r="A148" s="174" t="s">
        <v>632</v>
      </c>
      <c r="B148" s="19" t="s">
        <v>60</v>
      </c>
      <c r="E148" s="9" t="s">
        <v>147</v>
      </c>
      <c r="F148" s="9" t="s">
        <v>147</v>
      </c>
      <c r="G148" s="9" t="s">
        <v>607</v>
      </c>
      <c r="H148" s="170" t="s">
        <v>738</v>
      </c>
      <c r="I148" s="171" t="s">
        <v>379</v>
      </c>
      <c r="J148" s="398" t="s">
        <v>1291</v>
      </c>
      <c r="K148" s="398" t="s">
        <v>1291</v>
      </c>
      <c r="L148" s="9" t="s">
        <v>408</v>
      </c>
    </row>
    <row r="149" spans="1:14" ht="15" customHeight="1">
      <c r="A149" s="174" t="s">
        <v>633</v>
      </c>
      <c r="B149" s="19" t="s">
        <v>60</v>
      </c>
      <c r="E149" s="9" t="s">
        <v>147</v>
      </c>
      <c r="F149" s="9" t="s">
        <v>147</v>
      </c>
      <c r="G149" s="9" t="s">
        <v>607</v>
      </c>
      <c r="H149" s="170" t="s">
        <v>739</v>
      </c>
      <c r="I149" s="171" t="s">
        <v>379</v>
      </c>
      <c r="J149" s="398" t="s">
        <v>1291</v>
      </c>
      <c r="K149" s="398" t="s">
        <v>1291</v>
      </c>
      <c r="L149" s="9" t="s">
        <v>408</v>
      </c>
    </row>
    <row r="150" spans="1:14" ht="15" customHeight="1">
      <c r="A150" s="174" t="s">
        <v>634</v>
      </c>
      <c r="B150" s="19" t="s">
        <v>60</v>
      </c>
      <c r="E150" s="9" t="s">
        <v>147</v>
      </c>
      <c r="F150" s="9" t="s">
        <v>147</v>
      </c>
      <c r="G150" s="9" t="s">
        <v>607</v>
      </c>
      <c r="H150" s="170" t="s">
        <v>740</v>
      </c>
      <c r="I150" s="171" t="s">
        <v>379</v>
      </c>
      <c r="J150" s="398" t="s">
        <v>1291</v>
      </c>
      <c r="K150" s="398" t="s">
        <v>1291</v>
      </c>
      <c r="L150" s="9" t="s">
        <v>408</v>
      </c>
    </row>
    <row r="151" spans="1:14" ht="15" customHeight="1">
      <c r="A151" s="174" t="s">
        <v>635</v>
      </c>
      <c r="B151" s="19" t="s">
        <v>60</v>
      </c>
      <c r="E151" s="9" t="s">
        <v>147</v>
      </c>
      <c r="F151" s="9" t="s">
        <v>147</v>
      </c>
      <c r="G151" s="9" t="s">
        <v>607</v>
      </c>
      <c r="H151" s="170" t="s">
        <v>741</v>
      </c>
      <c r="I151" s="171" t="s">
        <v>379</v>
      </c>
      <c r="J151" s="398" t="s">
        <v>1291</v>
      </c>
      <c r="K151" s="398" t="s">
        <v>1291</v>
      </c>
      <c r="L151" s="9" t="s">
        <v>408</v>
      </c>
    </row>
    <row r="152" spans="1:14" ht="15" customHeight="1">
      <c r="A152" s="174" t="s">
        <v>636</v>
      </c>
      <c r="B152" s="19" t="s">
        <v>60</v>
      </c>
      <c r="E152" s="9" t="s">
        <v>147</v>
      </c>
      <c r="F152" s="9" t="s">
        <v>147</v>
      </c>
      <c r="G152" s="9" t="s">
        <v>607</v>
      </c>
      <c r="H152" s="170" t="s">
        <v>742</v>
      </c>
      <c r="I152" s="171" t="s">
        <v>379</v>
      </c>
      <c r="J152" s="398" t="s">
        <v>1291</v>
      </c>
      <c r="K152" s="398" t="s">
        <v>1291</v>
      </c>
      <c r="L152" s="9" t="s">
        <v>408</v>
      </c>
    </row>
    <row r="153" spans="1:14" ht="15" customHeight="1">
      <c r="A153" s="174" t="s">
        <v>637</v>
      </c>
      <c r="B153" s="19" t="s">
        <v>60</v>
      </c>
      <c r="E153" s="9" t="s">
        <v>147</v>
      </c>
      <c r="F153" s="9" t="s">
        <v>147</v>
      </c>
      <c r="G153" s="9" t="s">
        <v>607</v>
      </c>
      <c r="H153" s="170" t="s">
        <v>743</v>
      </c>
      <c r="I153" s="171" t="s">
        <v>379</v>
      </c>
      <c r="J153" s="398" t="s">
        <v>1291</v>
      </c>
      <c r="K153" s="398" t="s">
        <v>1291</v>
      </c>
      <c r="L153" s="9" t="s">
        <v>408</v>
      </c>
    </row>
    <row r="154" spans="1:14" ht="15" customHeight="1">
      <c r="A154" s="174" t="s">
        <v>638</v>
      </c>
      <c r="B154" s="19" t="s">
        <v>60</v>
      </c>
      <c r="E154" s="9" t="s">
        <v>147</v>
      </c>
      <c r="F154" s="9" t="s">
        <v>147</v>
      </c>
      <c r="G154" s="9" t="s">
        <v>607</v>
      </c>
      <c r="H154" s="170" t="s">
        <v>744</v>
      </c>
      <c r="I154" s="171" t="s">
        <v>379</v>
      </c>
      <c r="J154" s="398" t="s">
        <v>1291</v>
      </c>
      <c r="K154" s="398" t="s">
        <v>1291</v>
      </c>
      <c r="L154" s="9" t="s">
        <v>408</v>
      </c>
    </row>
    <row r="155" spans="1:14" ht="15" customHeight="1">
      <c r="A155" s="174" t="s">
        <v>639</v>
      </c>
      <c r="B155" s="19" t="s">
        <v>60</v>
      </c>
      <c r="E155" s="9" t="s">
        <v>147</v>
      </c>
      <c r="F155" s="9" t="s">
        <v>147</v>
      </c>
      <c r="G155" s="9" t="s">
        <v>607</v>
      </c>
      <c r="H155" s="170" t="s">
        <v>745</v>
      </c>
      <c r="I155" s="171" t="s">
        <v>379</v>
      </c>
      <c r="J155" s="398" t="s">
        <v>1291</v>
      </c>
      <c r="K155" s="398" t="s">
        <v>1291</v>
      </c>
      <c r="L155" s="9" t="s">
        <v>408</v>
      </c>
    </row>
    <row r="156" spans="1:14" ht="15" customHeight="1">
      <c r="A156" s="174"/>
      <c r="B156" s="19"/>
      <c r="G156" s="9"/>
      <c r="H156" s="170"/>
      <c r="I156" s="171"/>
    </row>
    <row r="157" spans="1:14" ht="15" customHeight="1">
      <c r="A157" s="18" t="s">
        <v>1424</v>
      </c>
      <c r="B157" s="30" t="s">
        <v>60</v>
      </c>
      <c r="C157" s="30"/>
      <c r="D157" s="30"/>
      <c r="E157" s="352" t="s">
        <v>147</v>
      </c>
      <c r="F157" s="9" t="s">
        <v>147</v>
      </c>
      <c r="G157" s="30" t="s">
        <v>607</v>
      </c>
      <c r="H157" s="142" t="s">
        <v>1425</v>
      </c>
      <c r="I157" s="143" t="s">
        <v>379</v>
      </c>
      <c r="J157" s="398" t="s">
        <v>1291</v>
      </c>
      <c r="K157" s="398" t="s">
        <v>1291</v>
      </c>
      <c r="L157" s="30" t="s">
        <v>408</v>
      </c>
      <c r="M157" s="30"/>
      <c r="N157" s="30"/>
    </row>
    <row r="158" spans="1:14" s="404" customFormat="1" ht="15" customHeight="1">
      <c r="A158" s="18" t="s">
        <v>1426</v>
      </c>
      <c r="B158" s="30" t="s">
        <v>60</v>
      </c>
      <c r="C158" s="30"/>
      <c r="D158" s="30"/>
      <c r="E158" s="352" t="s">
        <v>147</v>
      </c>
      <c r="F158" s="404" t="s">
        <v>147</v>
      </c>
      <c r="G158" s="30" t="s">
        <v>607</v>
      </c>
      <c r="H158" s="142" t="s">
        <v>1427</v>
      </c>
      <c r="I158" s="143" t="s">
        <v>379</v>
      </c>
      <c r="J158" s="398" t="s">
        <v>1291</v>
      </c>
      <c r="K158" s="398" t="s">
        <v>1291</v>
      </c>
      <c r="L158" s="30" t="s">
        <v>408</v>
      </c>
      <c r="M158" s="30"/>
      <c r="N158" s="30"/>
    </row>
    <row r="159" spans="1:14" s="404" customFormat="1" ht="15" customHeight="1">
      <c r="A159" s="18" t="s">
        <v>1428</v>
      </c>
      <c r="B159" s="30" t="s">
        <v>60</v>
      </c>
      <c r="C159" s="30"/>
      <c r="D159" s="30"/>
      <c r="E159" s="352" t="s">
        <v>147</v>
      </c>
      <c r="F159" s="404" t="s">
        <v>147</v>
      </c>
      <c r="G159" s="30" t="s">
        <v>607</v>
      </c>
      <c r="H159" s="142" t="s">
        <v>1429</v>
      </c>
      <c r="I159" s="143" t="s">
        <v>379</v>
      </c>
      <c r="J159" s="398" t="s">
        <v>1291</v>
      </c>
      <c r="K159" s="398" t="s">
        <v>1291</v>
      </c>
      <c r="L159" s="30" t="s">
        <v>408</v>
      </c>
      <c r="M159" s="30"/>
      <c r="N159" s="30"/>
    </row>
    <row r="160" spans="1:14" s="404" customFormat="1" ht="15" customHeight="1">
      <c r="A160" s="18" t="s">
        <v>1430</v>
      </c>
      <c r="B160" s="30" t="s">
        <v>60</v>
      </c>
      <c r="C160" s="30"/>
      <c r="D160" s="30"/>
      <c r="E160" s="352" t="s">
        <v>147</v>
      </c>
      <c r="F160" s="404" t="s">
        <v>147</v>
      </c>
      <c r="G160" s="30" t="s">
        <v>607</v>
      </c>
      <c r="H160" s="142" t="s">
        <v>1431</v>
      </c>
      <c r="I160" s="143" t="s">
        <v>379</v>
      </c>
      <c r="J160" s="398" t="s">
        <v>1291</v>
      </c>
      <c r="K160" s="398" t="s">
        <v>1291</v>
      </c>
      <c r="L160" s="30" t="s">
        <v>408</v>
      </c>
      <c r="M160" s="30"/>
      <c r="N160" s="30"/>
    </row>
    <row r="161" spans="1:14" s="404" customFormat="1" ht="15" customHeight="1">
      <c r="A161" s="18" t="s">
        <v>1432</v>
      </c>
      <c r="B161" s="30" t="s">
        <v>60</v>
      </c>
      <c r="C161" s="30"/>
      <c r="D161" s="30"/>
      <c r="E161" s="352" t="s">
        <v>147</v>
      </c>
      <c r="F161" s="404" t="s">
        <v>147</v>
      </c>
      <c r="G161" s="30" t="s">
        <v>607</v>
      </c>
      <c r="H161" s="142" t="s">
        <v>1433</v>
      </c>
      <c r="I161" s="143" t="s">
        <v>379</v>
      </c>
      <c r="J161" s="398" t="s">
        <v>1291</v>
      </c>
      <c r="K161" s="398" t="s">
        <v>1291</v>
      </c>
      <c r="L161" s="30" t="s">
        <v>408</v>
      </c>
      <c r="M161" s="30"/>
      <c r="N161" s="30"/>
    </row>
    <row r="162" spans="1:14" s="404" customFormat="1" ht="15" customHeight="1">
      <c r="A162" s="18" t="s">
        <v>1434</v>
      </c>
      <c r="B162" s="30" t="s">
        <v>60</v>
      </c>
      <c r="C162" s="30"/>
      <c r="D162" s="30"/>
      <c r="E162" s="352" t="s">
        <v>147</v>
      </c>
      <c r="F162" s="404" t="s">
        <v>147</v>
      </c>
      <c r="G162" s="30" t="s">
        <v>607</v>
      </c>
      <c r="H162" s="142" t="s">
        <v>1435</v>
      </c>
      <c r="I162" s="143" t="s">
        <v>379</v>
      </c>
      <c r="J162" s="398" t="s">
        <v>1291</v>
      </c>
      <c r="K162" s="398" t="s">
        <v>1291</v>
      </c>
      <c r="L162" s="30" t="s">
        <v>408</v>
      </c>
      <c r="M162" s="30"/>
      <c r="N162" s="30"/>
    </row>
    <row r="163" spans="1:14" s="404" customFormat="1" ht="15" customHeight="1">
      <c r="A163" s="18" t="s">
        <v>1436</v>
      </c>
      <c r="B163" s="30" t="s">
        <v>60</v>
      </c>
      <c r="C163" s="30"/>
      <c r="D163" s="30"/>
      <c r="E163" s="352" t="s">
        <v>147</v>
      </c>
      <c r="F163" s="404" t="s">
        <v>147</v>
      </c>
      <c r="G163" s="30" t="s">
        <v>607</v>
      </c>
      <c r="H163" s="142" t="s">
        <v>1437</v>
      </c>
      <c r="I163" s="143" t="s">
        <v>379</v>
      </c>
      <c r="J163" s="398" t="s">
        <v>1291</v>
      </c>
      <c r="K163" s="398" t="s">
        <v>1291</v>
      </c>
      <c r="L163" s="30" t="s">
        <v>408</v>
      </c>
      <c r="M163" s="30"/>
      <c r="N163" s="30"/>
    </row>
    <row r="164" spans="1:14" s="404" customFormat="1" ht="15" customHeight="1">
      <c r="A164" s="18" t="s">
        <v>1438</v>
      </c>
      <c r="B164" s="30" t="s">
        <v>60</v>
      </c>
      <c r="C164" s="30"/>
      <c r="D164" s="30"/>
      <c r="E164" s="352" t="s">
        <v>147</v>
      </c>
      <c r="F164" s="404" t="s">
        <v>147</v>
      </c>
      <c r="G164" s="30" t="s">
        <v>607</v>
      </c>
      <c r="H164" s="142" t="s">
        <v>1439</v>
      </c>
      <c r="I164" s="143" t="s">
        <v>379</v>
      </c>
      <c r="J164" s="398" t="s">
        <v>1291</v>
      </c>
      <c r="K164" s="398" t="s">
        <v>1291</v>
      </c>
      <c r="L164" s="30" t="s">
        <v>408</v>
      </c>
      <c r="M164" s="30"/>
      <c r="N164" s="30"/>
    </row>
    <row r="165" spans="1:14" s="404" customFormat="1" ht="15" customHeight="1">
      <c r="A165" s="18" t="s">
        <v>1440</v>
      </c>
      <c r="B165" s="30" t="s">
        <v>60</v>
      </c>
      <c r="C165" s="30"/>
      <c r="D165" s="30"/>
      <c r="E165" s="352" t="s">
        <v>147</v>
      </c>
      <c r="F165" s="404" t="s">
        <v>147</v>
      </c>
      <c r="G165" s="30" t="s">
        <v>607</v>
      </c>
      <c r="H165" s="142" t="s">
        <v>1441</v>
      </c>
      <c r="I165" s="143" t="s">
        <v>379</v>
      </c>
      <c r="J165" s="398" t="s">
        <v>1291</v>
      </c>
      <c r="K165" s="398" t="s">
        <v>1291</v>
      </c>
      <c r="L165" s="30" t="s">
        <v>408</v>
      </c>
      <c r="M165" s="30"/>
      <c r="N165" s="30"/>
    </row>
    <row r="166" spans="1:14" s="404" customFormat="1" ht="15" customHeight="1">
      <c r="A166" s="18" t="s">
        <v>1442</v>
      </c>
      <c r="B166" s="30" t="s">
        <v>60</v>
      </c>
      <c r="C166" s="30"/>
      <c r="D166" s="30"/>
      <c r="E166" s="352" t="s">
        <v>147</v>
      </c>
      <c r="F166" s="404" t="s">
        <v>147</v>
      </c>
      <c r="G166" s="30" t="s">
        <v>607</v>
      </c>
      <c r="H166" s="142" t="s">
        <v>1443</v>
      </c>
      <c r="I166" s="143" t="s">
        <v>379</v>
      </c>
      <c r="J166" s="398" t="s">
        <v>1291</v>
      </c>
      <c r="K166" s="398" t="s">
        <v>1291</v>
      </c>
      <c r="L166" s="30" t="s">
        <v>408</v>
      </c>
      <c r="M166" s="30"/>
      <c r="N166" s="30"/>
    </row>
    <row r="167" spans="1:14" s="404" customFormat="1" ht="15" customHeight="1">
      <c r="A167" s="18" t="s">
        <v>1444</v>
      </c>
      <c r="B167" s="30" t="s">
        <v>60</v>
      </c>
      <c r="C167" s="30"/>
      <c r="D167" s="30"/>
      <c r="E167" s="352" t="s">
        <v>147</v>
      </c>
      <c r="F167" s="404" t="s">
        <v>147</v>
      </c>
      <c r="G167" s="30" t="s">
        <v>607</v>
      </c>
      <c r="H167" s="142" t="s">
        <v>1445</v>
      </c>
      <c r="I167" s="143" t="s">
        <v>379</v>
      </c>
      <c r="J167" s="398" t="s">
        <v>1291</v>
      </c>
      <c r="K167" s="398" t="s">
        <v>1291</v>
      </c>
      <c r="L167" s="30" t="s">
        <v>408</v>
      </c>
      <c r="M167" s="30"/>
      <c r="N167" s="30"/>
    </row>
    <row r="168" spans="1:14" s="404" customFormat="1" ht="15" customHeight="1">
      <c r="A168" s="18" t="s">
        <v>1446</v>
      </c>
      <c r="B168" s="30" t="s">
        <v>60</v>
      </c>
      <c r="C168" s="30"/>
      <c r="D168" s="30"/>
      <c r="E168" s="352" t="s">
        <v>147</v>
      </c>
      <c r="F168" s="404" t="s">
        <v>147</v>
      </c>
      <c r="G168" s="30" t="s">
        <v>607</v>
      </c>
      <c r="H168" s="142" t="s">
        <v>1447</v>
      </c>
      <c r="I168" s="143" t="s">
        <v>379</v>
      </c>
      <c r="J168" s="398" t="s">
        <v>1291</v>
      </c>
      <c r="K168" s="398" t="s">
        <v>1291</v>
      </c>
      <c r="L168" s="30" t="s">
        <v>408</v>
      </c>
      <c r="M168" s="30"/>
      <c r="N168" s="30"/>
    </row>
    <row r="169" spans="1:14" s="404" customFormat="1" ht="15" customHeight="1">
      <c r="A169" s="18" t="s">
        <v>1448</v>
      </c>
      <c r="B169" s="30" t="s">
        <v>60</v>
      </c>
      <c r="C169" s="30"/>
      <c r="D169" s="30"/>
      <c r="E169" s="352" t="s">
        <v>147</v>
      </c>
      <c r="F169" s="404" t="s">
        <v>147</v>
      </c>
      <c r="G169" s="30" t="s">
        <v>607</v>
      </c>
      <c r="H169" s="142" t="s">
        <v>1449</v>
      </c>
      <c r="I169" s="143" t="s">
        <v>379</v>
      </c>
      <c r="J169" s="398" t="s">
        <v>1291</v>
      </c>
      <c r="K169" s="398" t="s">
        <v>1291</v>
      </c>
      <c r="L169" s="30" t="s">
        <v>408</v>
      </c>
      <c r="M169" s="30"/>
      <c r="N169" s="30"/>
    </row>
    <row r="170" spans="1:14" s="404" customFormat="1" ht="15" customHeight="1">
      <c r="A170" s="18" t="s">
        <v>1450</v>
      </c>
      <c r="B170" s="30" t="s">
        <v>60</v>
      </c>
      <c r="C170" s="30"/>
      <c r="D170" s="30"/>
      <c r="E170" s="352" t="s">
        <v>147</v>
      </c>
      <c r="F170" s="404" t="s">
        <v>147</v>
      </c>
      <c r="G170" s="30" t="s">
        <v>607</v>
      </c>
      <c r="H170" s="142" t="s">
        <v>1451</v>
      </c>
      <c r="I170" s="143" t="s">
        <v>379</v>
      </c>
      <c r="J170" s="398" t="s">
        <v>1291</v>
      </c>
      <c r="K170" s="398" t="s">
        <v>1291</v>
      </c>
      <c r="L170" s="30" t="s">
        <v>408</v>
      </c>
      <c r="M170" s="30"/>
      <c r="N170" s="30"/>
    </row>
    <row r="171" spans="1:14" s="404" customFormat="1" ht="15" customHeight="1">
      <c r="A171" s="18" t="s">
        <v>1452</v>
      </c>
      <c r="B171" s="30" t="s">
        <v>60</v>
      </c>
      <c r="C171" s="30"/>
      <c r="D171" s="30"/>
      <c r="E171" s="352" t="s">
        <v>147</v>
      </c>
      <c r="F171" s="404" t="s">
        <v>147</v>
      </c>
      <c r="G171" s="30" t="s">
        <v>607</v>
      </c>
      <c r="H171" s="142" t="s">
        <v>1453</v>
      </c>
      <c r="I171" s="143" t="s">
        <v>379</v>
      </c>
      <c r="J171" s="398" t="s">
        <v>1291</v>
      </c>
      <c r="K171" s="398" t="s">
        <v>1291</v>
      </c>
      <c r="L171" s="30" t="s">
        <v>408</v>
      </c>
      <c r="M171" s="30"/>
      <c r="N171" s="30"/>
    </row>
    <row r="172" spans="1:14" s="404" customFormat="1" ht="15" customHeight="1">
      <c r="A172" s="18" t="s">
        <v>1454</v>
      </c>
      <c r="B172" s="30" t="s">
        <v>60</v>
      </c>
      <c r="C172" s="30"/>
      <c r="D172" s="30"/>
      <c r="E172" s="352" t="s">
        <v>147</v>
      </c>
      <c r="F172" s="404" t="s">
        <v>147</v>
      </c>
      <c r="G172" s="30" t="s">
        <v>607</v>
      </c>
      <c r="H172" s="142" t="s">
        <v>1455</v>
      </c>
      <c r="I172" s="143" t="s">
        <v>379</v>
      </c>
      <c r="J172" s="398" t="s">
        <v>1291</v>
      </c>
      <c r="K172" s="398" t="s">
        <v>1291</v>
      </c>
      <c r="L172" s="30" t="s">
        <v>408</v>
      </c>
      <c r="M172" s="30"/>
      <c r="N172" s="30"/>
    </row>
    <row r="173" spans="1:14" s="404" customFormat="1" ht="15" customHeight="1">
      <c r="A173" s="18" t="s">
        <v>1456</v>
      </c>
      <c r="B173" s="30" t="s">
        <v>60</v>
      </c>
      <c r="C173" s="30"/>
      <c r="D173" s="30"/>
      <c r="E173" s="352" t="s">
        <v>147</v>
      </c>
      <c r="F173" s="404" t="s">
        <v>147</v>
      </c>
      <c r="G173" s="30" t="s">
        <v>607</v>
      </c>
      <c r="H173" s="142" t="s">
        <v>1457</v>
      </c>
      <c r="I173" s="143" t="s">
        <v>379</v>
      </c>
      <c r="J173" s="398" t="s">
        <v>1291</v>
      </c>
      <c r="K173" s="398" t="s">
        <v>1291</v>
      </c>
      <c r="L173" s="30" t="s">
        <v>408</v>
      </c>
      <c r="M173" s="30"/>
      <c r="N173" s="30"/>
    </row>
    <row r="174" spans="1:14" s="404" customFormat="1" ht="15" customHeight="1">
      <c r="A174" s="18" t="s">
        <v>1458</v>
      </c>
      <c r="B174" s="30" t="s">
        <v>60</v>
      </c>
      <c r="C174" s="30"/>
      <c r="D174" s="30"/>
      <c r="E174" s="352" t="s">
        <v>147</v>
      </c>
      <c r="F174" s="404" t="s">
        <v>147</v>
      </c>
      <c r="G174" s="30" t="s">
        <v>607</v>
      </c>
      <c r="H174" s="142" t="s">
        <v>1459</v>
      </c>
      <c r="I174" s="143" t="s">
        <v>379</v>
      </c>
      <c r="J174" s="398" t="s">
        <v>1291</v>
      </c>
      <c r="K174" s="398" t="s">
        <v>1291</v>
      </c>
      <c r="L174" s="30" t="s">
        <v>408</v>
      </c>
      <c r="M174" s="30"/>
      <c r="N174" s="30"/>
    </row>
    <row r="175" spans="1:14" s="404" customFormat="1" ht="15" customHeight="1">
      <c r="A175" s="18" t="s">
        <v>1460</v>
      </c>
      <c r="B175" s="30" t="s">
        <v>60</v>
      </c>
      <c r="C175" s="30"/>
      <c r="D175" s="30"/>
      <c r="E175" s="352" t="s">
        <v>147</v>
      </c>
      <c r="F175" s="404" t="s">
        <v>147</v>
      </c>
      <c r="G175" s="30" t="s">
        <v>607</v>
      </c>
      <c r="H175" s="142" t="s">
        <v>1461</v>
      </c>
      <c r="I175" s="143" t="s">
        <v>379</v>
      </c>
      <c r="J175" s="398" t="s">
        <v>1291</v>
      </c>
      <c r="K175" s="398" t="s">
        <v>1291</v>
      </c>
      <c r="L175" s="30" t="s">
        <v>408</v>
      </c>
      <c r="M175" s="30"/>
      <c r="N175" s="30"/>
    </row>
    <row r="176" spans="1:14" s="404" customFormat="1" ht="15" customHeight="1">
      <c r="A176" s="18" t="s">
        <v>1462</v>
      </c>
      <c r="B176" s="30" t="s">
        <v>60</v>
      </c>
      <c r="C176" s="30"/>
      <c r="D176" s="30"/>
      <c r="E176" s="352" t="s">
        <v>147</v>
      </c>
      <c r="F176" s="404" t="s">
        <v>147</v>
      </c>
      <c r="G176" s="30" t="s">
        <v>607</v>
      </c>
      <c r="H176" s="142" t="s">
        <v>1463</v>
      </c>
      <c r="I176" s="143" t="s">
        <v>379</v>
      </c>
      <c r="J176" s="398" t="s">
        <v>1291</v>
      </c>
      <c r="K176" s="398" t="s">
        <v>1291</v>
      </c>
      <c r="L176" s="30" t="s">
        <v>408</v>
      </c>
      <c r="M176" s="30"/>
      <c r="N176" s="30"/>
    </row>
    <row r="177" spans="1:15" s="404" customFormat="1" ht="15" customHeight="1">
      <c r="A177" s="18" t="s">
        <v>1464</v>
      </c>
      <c r="B177" s="30" t="s">
        <v>60</v>
      </c>
      <c r="C177" s="30"/>
      <c r="D177" s="30"/>
      <c r="E177" s="352" t="s">
        <v>147</v>
      </c>
      <c r="F177" s="404" t="s">
        <v>147</v>
      </c>
      <c r="G177" s="30" t="s">
        <v>607</v>
      </c>
      <c r="H177" s="142" t="s">
        <v>1465</v>
      </c>
      <c r="I177" s="143" t="s">
        <v>379</v>
      </c>
      <c r="J177" s="398" t="s">
        <v>1291</v>
      </c>
      <c r="K177" s="398" t="s">
        <v>1291</v>
      </c>
      <c r="L177" s="30" t="s">
        <v>408</v>
      </c>
      <c r="M177" s="30"/>
      <c r="N177" s="30"/>
    </row>
    <row r="178" spans="1:15" s="404" customFormat="1" ht="15" customHeight="1">
      <c r="A178" s="18" t="s">
        <v>1466</v>
      </c>
      <c r="B178" s="30" t="s">
        <v>60</v>
      </c>
      <c r="C178" s="30"/>
      <c r="D178" s="30"/>
      <c r="E178" s="352" t="s">
        <v>147</v>
      </c>
      <c r="F178" s="404" t="s">
        <v>147</v>
      </c>
      <c r="G178" s="30" t="s">
        <v>607</v>
      </c>
      <c r="H178" s="142" t="s">
        <v>1467</v>
      </c>
      <c r="I178" s="143" t="s">
        <v>379</v>
      </c>
      <c r="J178" s="398" t="s">
        <v>1291</v>
      </c>
      <c r="K178" s="398" t="s">
        <v>1291</v>
      </c>
      <c r="L178" s="30" t="s">
        <v>408</v>
      </c>
      <c r="M178" s="30"/>
      <c r="N178" s="30"/>
    </row>
    <row r="179" spans="1:15" s="404" customFormat="1" ht="15" customHeight="1">
      <c r="A179" s="18" t="s">
        <v>1468</v>
      </c>
      <c r="B179" s="30" t="s">
        <v>60</v>
      </c>
      <c r="C179" s="30"/>
      <c r="D179" s="30"/>
      <c r="E179" s="352" t="s">
        <v>147</v>
      </c>
      <c r="F179" s="404" t="s">
        <v>147</v>
      </c>
      <c r="G179" s="30" t="s">
        <v>607</v>
      </c>
      <c r="H179" s="142" t="s">
        <v>1469</v>
      </c>
      <c r="I179" s="143" t="s">
        <v>379</v>
      </c>
      <c r="J179" s="398" t="s">
        <v>1291</v>
      </c>
      <c r="K179" s="398" t="s">
        <v>1291</v>
      </c>
      <c r="L179" s="30" t="s">
        <v>408</v>
      </c>
      <c r="M179" s="30"/>
      <c r="N179" s="30"/>
    </row>
    <row r="180" spans="1:15" s="404" customFormat="1" ht="15" customHeight="1">
      <c r="A180" s="18" t="s">
        <v>1470</v>
      </c>
      <c r="B180" s="30" t="s">
        <v>60</v>
      </c>
      <c r="C180" s="30"/>
      <c r="D180" s="30"/>
      <c r="E180" s="352" t="s">
        <v>147</v>
      </c>
      <c r="F180" s="404" t="s">
        <v>147</v>
      </c>
      <c r="G180" s="30" t="s">
        <v>607</v>
      </c>
      <c r="H180" s="142" t="s">
        <v>1471</v>
      </c>
      <c r="I180" s="143" t="s">
        <v>379</v>
      </c>
      <c r="J180" s="398" t="s">
        <v>1291</v>
      </c>
      <c r="K180" s="398" t="s">
        <v>1291</v>
      </c>
      <c r="L180" s="30" t="s">
        <v>408</v>
      </c>
      <c r="M180" s="30"/>
      <c r="N180" s="30"/>
    </row>
    <row r="181" spans="1:15" s="404" customFormat="1" ht="15" customHeight="1">
      <c r="A181" s="18" t="s">
        <v>1472</v>
      </c>
      <c r="B181" s="30" t="s">
        <v>60</v>
      </c>
      <c r="C181" s="30"/>
      <c r="D181" s="30"/>
      <c r="E181" s="352" t="s">
        <v>147</v>
      </c>
      <c r="F181" s="404" t="s">
        <v>147</v>
      </c>
      <c r="G181" s="30" t="s">
        <v>607</v>
      </c>
      <c r="H181" s="142" t="s">
        <v>1473</v>
      </c>
      <c r="I181" s="143" t="s">
        <v>379</v>
      </c>
      <c r="J181" s="398" t="s">
        <v>1291</v>
      </c>
      <c r="K181" s="398" t="s">
        <v>1291</v>
      </c>
      <c r="L181" s="30" t="s">
        <v>408</v>
      </c>
      <c r="M181" s="30"/>
      <c r="N181" s="30"/>
    </row>
    <row r="182" spans="1:15" s="404" customFormat="1" ht="15" customHeight="1">
      <c r="A182" s="18" t="s">
        <v>1474</v>
      </c>
      <c r="B182" s="30" t="s">
        <v>60</v>
      </c>
      <c r="C182" s="30"/>
      <c r="D182" s="30"/>
      <c r="E182" s="352" t="s">
        <v>147</v>
      </c>
      <c r="F182" s="404" t="s">
        <v>147</v>
      </c>
      <c r="G182" s="30" t="s">
        <v>607</v>
      </c>
      <c r="H182" s="142" t="s">
        <v>1475</v>
      </c>
      <c r="I182" s="143" t="s">
        <v>379</v>
      </c>
      <c r="J182" s="398" t="s">
        <v>1291</v>
      </c>
      <c r="K182" s="398" t="s">
        <v>1291</v>
      </c>
      <c r="L182" s="30" t="s">
        <v>408</v>
      </c>
      <c r="M182" s="30"/>
      <c r="N182" s="30"/>
    </row>
    <row r="183" spans="1:15" s="404" customFormat="1" ht="15" customHeight="1">
      <c r="A183" s="18" t="s">
        <v>1476</v>
      </c>
      <c r="B183" s="30" t="s">
        <v>60</v>
      </c>
      <c r="C183" s="30"/>
      <c r="D183" s="30"/>
      <c r="E183" s="352" t="s">
        <v>147</v>
      </c>
      <c r="F183" s="404" t="s">
        <v>147</v>
      </c>
      <c r="G183" s="30" t="s">
        <v>607</v>
      </c>
      <c r="H183" s="142" t="s">
        <v>1477</v>
      </c>
      <c r="I183" s="143" t="s">
        <v>379</v>
      </c>
      <c r="J183" s="398" t="s">
        <v>1291</v>
      </c>
      <c r="K183" s="398" t="s">
        <v>1291</v>
      </c>
      <c r="L183" s="30" t="s">
        <v>408</v>
      </c>
      <c r="M183" s="30"/>
      <c r="N183" s="30"/>
    </row>
    <row r="184" spans="1:15" s="404" customFormat="1" ht="15" customHeight="1">
      <c r="A184" s="18" t="s">
        <v>1478</v>
      </c>
      <c r="B184" s="30" t="s">
        <v>60</v>
      </c>
      <c r="C184" s="30"/>
      <c r="D184" s="30"/>
      <c r="E184" s="352" t="s">
        <v>147</v>
      </c>
      <c r="F184" s="404" t="s">
        <v>147</v>
      </c>
      <c r="G184" s="30" t="s">
        <v>607</v>
      </c>
      <c r="H184" s="142" t="s">
        <v>1479</v>
      </c>
      <c r="I184" s="143" t="s">
        <v>379</v>
      </c>
      <c r="J184" s="398" t="s">
        <v>1291</v>
      </c>
      <c r="K184" s="398" t="s">
        <v>1291</v>
      </c>
      <c r="L184" s="30" t="s">
        <v>408</v>
      </c>
      <c r="M184" s="30"/>
      <c r="N184" s="30"/>
    </row>
    <row r="185" spans="1:15" s="404" customFormat="1" ht="15" customHeight="1">
      <c r="A185" s="18"/>
      <c r="B185" s="30"/>
      <c r="C185" s="30"/>
      <c r="D185" s="30"/>
      <c r="E185" s="352"/>
      <c r="G185" s="30"/>
      <c r="H185" s="142"/>
      <c r="I185" s="143"/>
      <c r="J185" s="398"/>
      <c r="K185" s="398"/>
      <c r="L185" s="30"/>
      <c r="M185" s="30"/>
      <c r="N185" s="30"/>
    </row>
    <row r="186" spans="1:15" s="18" customFormat="1">
      <c r="A186" s="30" t="s">
        <v>1570</v>
      </c>
      <c r="B186" s="63" t="s">
        <v>60</v>
      </c>
      <c r="C186" s="63"/>
      <c r="D186" s="63"/>
      <c r="E186" s="18" t="s">
        <v>795</v>
      </c>
      <c r="F186" s="9" t="s">
        <v>147</v>
      </c>
      <c r="G186" s="30" t="str">
        <f>CONCATENATE("q100 = ? and q6140 = ?")</f>
        <v>q100 = ? and q6140 = ?</v>
      </c>
      <c r="H186" s="142" t="str">
        <f>CONCATENATE("[ data('q100') , '2' ]")</f>
        <v>[ data('q100') , '2' ]</v>
      </c>
      <c r="I186" s="171" t="s">
        <v>379</v>
      </c>
      <c r="J186" s="398" t="s">
        <v>1291</v>
      </c>
      <c r="K186" s="398" t="s">
        <v>1291</v>
      </c>
      <c r="L186" s="63"/>
      <c r="M186" s="63"/>
      <c r="N186" s="63"/>
      <c r="O186" s="63"/>
    </row>
    <row r="187" spans="1:15" s="18" customFormat="1">
      <c r="A187" s="30" t="s">
        <v>1571</v>
      </c>
      <c r="B187" s="63" t="s">
        <v>60</v>
      </c>
      <c r="C187" s="63"/>
      <c r="D187" s="63"/>
      <c r="E187" s="18" t="s">
        <v>795</v>
      </c>
      <c r="F187" s="9" t="s">
        <v>147</v>
      </c>
      <c r="G187" s="30" t="str">
        <f>CONCATENATE("q100 = ? and q6140 = ?")</f>
        <v>q100 = ? and q6140 = ?</v>
      </c>
      <c r="H187" s="142" t="str">
        <f>CONCATENATE("[ data('q100') , '3' ]")</f>
        <v>[ data('q100') , '3' ]</v>
      </c>
      <c r="I187" s="171" t="s">
        <v>379</v>
      </c>
      <c r="J187" s="398" t="s">
        <v>1291</v>
      </c>
      <c r="K187" s="398" t="s">
        <v>1291</v>
      </c>
      <c r="L187" s="63"/>
      <c r="M187" s="63"/>
      <c r="N187" s="63"/>
      <c r="O187" s="63"/>
    </row>
    <row r="188" spans="1:15" s="18" customFormat="1">
      <c r="A188" s="30" t="s">
        <v>1572</v>
      </c>
      <c r="B188" s="63" t="s">
        <v>60</v>
      </c>
      <c r="C188" s="63"/>
      <c r="D188" s="63"/>
      <c r="E188" s="18" t="s">
        <v>795</v>
      </c>
      <c r="F188" s="9" t="s">
        <v>147</v>
      </c>
      <c r="G188" s="30" t="str">
        <f>CONCATENATE("q100 = ? and q6140 = ?")</f>
        <v>q100 = ? and q6140 = ?</v>
      </c>
      <c r="H188" s="142" t="str">
        <f>CONCATENATE("[ data('q100') , '4' ]")</f>
        <v>[ data('q100') , '4' ]</v>
      </c>
      <c r="I188" s="171" t="s">
        <v>379</v>
      </c>
      <c r="J188" s="398" t="s">
        <v>1291</v>
      </c>
      <c r="K188" s="398" t="s">
        <v>1291</v>
      </c>
      <c r="L188" s="63"/>
      <c r="M188" s="63"/>
      <c r="N188" s="63"/>
      <c r="O188" s="63"/>
    </row>
    <row r="190" spans="1:15" s="18" customFormat="1">
      <c r="A190" s="30" t="s">
        <v>1561</v>
      </c>
      <c r="B190" s="63" t="s">
        <v>60</v>
      </c>
      <c r="C190" s="63"/>
      <c r="D190" s="63"/>
      <c r="E190" s="18" t="s">
        <v>795</v>
      </c>
      <c r="F190" s="404" t="s">
        <v>147</v>
      </c>
      <c r="G190" s="30" t="str">
        <f>CONCATENATE("q100 = ? and q6205 = ?")</f>
        <v>q100 = ? and q6205 = ?</v>
      </c>
      <c r="H190" s="142" t="str">
        <f>CONCATENATE("[ data('q100') , '2' ]")</f>
        <v>[ data('q100') , '2' ]</v>
      </c>
      <c r="I190" s="171" t="s">
        <v>379</v>
      </c>
      <c r="J190" s="398" t="s">
        <v>1291</v>
      </c>
      <c r="K190" s="398" t="s">
        <v>1291</v>
      </c>
      <c r="L190" s="63"/>
      <c r="M190" s="63"/>
      <c r="N190" s="63"/>
      <c r="O190" s="63"/>
    </row>
    <row r="191" spans="1:15" s="18" customFormat="1">
      <c r="A191" s="30" t="s">
        <v>1562</v>
      </c>
      <c r="B191" s="63" t="s">
        <v>60</v>
      </c>
      <c r="C191" s="63"/>
      <c r="D191" s="63"/>
      <c r="E191" s="18" t="s">
        <v>795</v>
      </c>
      <c r="F191" s="404" t="s">
        <v>147</v>
      </c>
      <c r="G191" s="30" t="str">
        <f>CONCATENATE("q100 = ? and q6205 = ?")</f>
        <v>q100 = ? and q6205 = ?</v>
      </c>
      <c r="H191" s="142" t="str">
        <f>CONCATENATE("[ data('q100') , '3' ]")</f>
        <v>[ data('q100') , '3' ]</v>
      </c>
      <c r="I191" s="171" t="s">
        <v>379</v>
      </c>
      <c r="J191" s="398" t="s">
        <v>1291</v>
      </c>
      <c r="K191" s="398" t="s">
        <v>1291</v>
      </c>
      <c r="L191" s="63"/>
      <c r="M191" s="63"/>
      <c r="N191" s="63"/>
      <c r="O191" s="63"/>
    </row>
    <row r="192" spans="1:15" s="18" customFormat="1">
      <c r="A192" s="30" t="s">
        <v>1563</v>
      </c>
      <c r="B192" s="63" t="s">
        <v>60</v>
      </c>
      <c r="C192" s="63"/>
      <c r="D192" s="63"/>
      <c r="E192" s="18" t="s">
        <v>795</v>
      </c>
      <c r="F192" s="404" t="s">
        <v>147</v>
      </c>
      <c r="G192" s="30" t="str">
        <f>CONCATENATE("q100 = ? and q6205 = ?")</f>
        <v>q100 = ? and q6205 = ?</v>
      </c>
      <c r="H192" s="142" t="str">
        <f>CONCATENATE("[ data('q100') , '4' ]")</f>
        <v>[ data('q100') , '4' ]</v>
      </c>
      <c r="I192" s="171" t="s">
        <v>379</v>
      </c>
      <c r="J192" s="398" t="s">
        <v>1291</v>
      </c>
      <c r="K192" s="398" t="s">
        <v>1291</v>
      </c>
      <c r="L192" s="63"/>
      <c r="M192" s="63"/>
      <c r="N192" s="63"/>
      <c r="O192" s="63"/>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5"/>
  <sheetViews>
    <sheetView workbookViewId="0">
      <pane ySplit="1" topLeftCell="A2" activePane="bottomLeft" state="frozen"/>
      <selection pane="bottomLeft" activeCell="A3" sqref="A3"/>
    </sheetView>
  </sheetViews>
  <sheetFormatPr defaultColWidth="8.85546875" defaultRowHeight="15"/>
  <cols>
    <col min="1" max="1" width="20" style="12" customWidth="1"/>
    <col min="2" max="2" width="17.140625" style="3" customWidth="1"/>
    <col min="3" max="3" width="54.42578125" style="37" bestFit="1" customWidth="1"/>
    <col min="4" max="4" width="60.140625" style="10" bestFit="1" customWidth="1"/>
    <col min="5" max="16384" width="8.85546875" style="18"/>
  </cols>
  <sheetData>
    <row r="1" spans="1:5" s="33" customFormat="1">
      <c r="A1" s="7" t="s">
        <v>15</v>
      </c>
      <c r="B1" s="7" t="s">
        <v>16</v>
      </c>
      <c r="C1" s="6" t="s">
        <v>1280</v>
      </c>
      <c r="D1" s="25" t="s">
        <v>1281</v>
      </c>
      <c r="E1" s="33" t="s">
        <v>5</v>
      </c>
    </row>
    <row r="2" spans="1:5" s="65" customFormat="1" ht="13.5" customHeight="1">
      <c r="A2" s="61"/>
      <c r="B2" s="61"/>
      <c r="C2" s="61"/>
      <c r="D2" s="61"/>
    </row>
    <row r="3" spans="1:5" s="65" customFormat="1" ht="13.5" customHeight="1">
      <c r="A3" s="393" t="s">
        <v>1594</v>
      </c>
      <c r="B3" s="389" t="str">
        <f>"1"</f>
        <v>1</v>
      </c>
      <c r="C3" s="390" t="s">
        <v>216</v>
      </c>
      <c r="D3" s="391" t="s">
        <v>62</v>
      </c>
    </row>
    <row r="4" spans="1:5" s="65" customFormat="1" ht="13.5" customHeight="1">
      <c r="A4" s="61"/>
      <c r="B4" s="61"/>
      <c r="C4" s="61"/>
      <c r="D4" s="61"/>
    </row>
    <row r="5" spans="1:5">
      <c r="A5" s="394" t="s">
        <v>17</v>
      </c>
      <c r="B5" s="389" t="str">
        <f>"1"</f>
        <v>1</v>
      </c>
      <c r="C5" s="390" t="s">
        <v>216</v>
      </c>
      <c r="D5" s="391" t="s">
        <v>62</v>
      </c>
    </row>
    <row r="6" spans="1:5">
      <c r="A6" s="394" t="s">
        <v>17</v>
      </c>
      <c r="B6" s="389" t="str">
        <f>"2"</f>
        <v>2</v>
      </c>
      <c r="C6" s="390" t="s">
        <v>217</v>
      </c>
      <c r="D6" s="391" t="s">
        <v>63</v>
      </c>
    </row>
    <row r="7" spans="1:5">
      <c r="A7" s="13"/>
      <c r="B7" s="34"/>
      <c r="C7" s="35"/>
      <c r="D7" s="38"/>
    </row>
    <row r="8" spans="1:5">
      <c r="A8" s="119" t="s">
        <v>140</v>
      </c>
      <c r="B8" s="120" t="str">
        <f>"1"</f>
        <v>1</v>
      </c>
      <c r="C8" s="121" t="s">
        <v>216</v>
      </c>
      <c r="D8" s="122" t="s">
        <v>62</v>
      </c>
    </row>
    <row r="9" spans="1:5">
      <c r="A9" s="119" t="s">
        <v>140</v>
      </c>
      <c r="B9" s="120" t="str">
        <f>"2"</f>
        <v>2</v>
      </c>
      <c r="C9" s="121" t="s">
        <v>218</v>
      </c>
      <c r="D9" s="122" t="s">
        <v>63</v>
      </c>
    </row>
    <row r="10" spans="1:5">
      <c r="A10" s="119" t="s">
        <v>140</v>
      </c>
      <c r="B10" s="120" t="str">
        <f>"98"</f>
        <v>98</v>
      </c>
      <c r="C10" s="121" t="s">
        <v>242</v>
      </c>
      <c r="D10" s="122" t="s">
        <v>126</v>
      </c>
    </row>
    <row r="11" spans="1:5" s="27" customFormat="1" ht="12.75" customHeight="1">
      <c r="A11" s="36"/>
      <c r="B11" s="36"/>
      <c r="C11" s="24"/>
      <c r="D11" s="39"/>
    </row>
    <row r="12" spans="1:5" s="27" customFormat="1" ht="12.75" customHeight="1">
      <c r="A12" s="81" t="s">
        <v>153</v>
      </c>
      <c r="B12" s="82" t="str">
        <f>"1"</f>
        <v>1</v>
      </c>
      <c r="C12" s="84" t="s">
        <v>359</v>
      </c>
      <c r="D12" s="83" t="s">
        <v>257</v>
      </c>
      <c r="E12" s="27" t="s">
        <v>469</v>
      </c>
    </row>
    <row r="13" spans="1:5" s="27" customFormat="1" ht="12.75" customHeight="1">
      <c r="A13" s="81" t="s">
        <v>153</v>
      </c>
      <c r="B13" s="82" t="str">
        <f>"2"</f>
        <v>2</v>
      </c>
      <c r="C13" s="401" t="s">
        <v>360</v>
      </c>
      <c r="D13" s="400" t="s">
        <v>258</v>
      </c>
    </row>
    <row r="14" spans="1:5" s="27" customFormat="1" ht="12.75" customHeight="1">
      <c r="A14" s="81" t="s">
        <v>153</v>
      </c>
      <c r="B14" s="82" t="str">
        <f>"3"</f>
        <v>3</v>
      </c>
      <c r="C14" s="401" t="s">
        <v>1132</v>
      </c>
      <c r="D14" s="400" t="s">
        <v>259</v>
      </c>
    </row>
    <row r="15" spans="1:5" s="27" customFormat="1" ht="12.75" customHeight="1">
      <c r="A15" s="81" t="s">
        <v>153</v>
      </c>
      <c r="B15" s="82" t="str">
        <f>"4"</f>
        <v>4</v>
      </c>
      <c r="C15" s="401" t="s">
        <v>1329</v>
      </c>
      <c r="D15" s="400" t="s">
        <v>1315</v>
      </c>
    </row>
    <row r="16" spans="1:5" s="27" customFormat="1" ht="12.75" customHeight="1">
      <c r="A16" s="81" t="s">
        <v>153</v>
      </c>
      <c r="B16" s="82" t="str">
        <f>"5"</f>
        <v>5</v>
      </c>
      <c r="C16" s="401" t="s">
        <v>1330</v>
      </c>
      <c r="D16" s="400" t="s">
        <v>1316</v>
      </c>
    </row>
    <row r="17" spans="1:25" s="27" customFormat="1" ht="12.75" customHeight="1">
      <c r="A17" s="81" t="s">
        <v>153</v>
      </c>
      <c r="B17" s="82" t="str">
        <f>"6"</f>
        <v>6</v>
      </c>
      <c r="C17" s="401" t="s">
        <v>361</v>
      </c>
      <c r="D17" s="400" t="s">
        <v>260</v>
      </c>
    </row>
    <row r="18" spans="1:25" s="27" customFormat="1" ht="12.75" customHeight="1">
      <c r="A18" s="81" t="s">
        <v>153</v>
      </c>
      <c r="B18" s="82" t="str">
        <f>"7"</f>
        <v>7</v>
      </c>
      <c r="C18" s="401" t="s">
        <v>362</v>
      </c>
      <c r="D18" s="400" t="s">
        <v>261</v>
      </c>
    </row>
    <row r="19" spans="1:25" s="27" customFormat="1" ht="12.75" customHeight="1">
      <c r="A19" s="81" t="s">
        <v>153</v>
      </c>
      <c r="B19" s="82" t="str">
        <f>"8"</f>
        <v>8</v>
      </c>
      <c r="C19" s="401" t="s">
        <v>363</v>
      </c>
      <c r="D19" s="400" t="s">
        <v>262</v>
      </c>
    </row>
    <row r="20" spans="1:25" s="27" customFormat="1" ht="12.75" customHeight="1">
      <c r="A20" s="81" t="s">
        <v>153</v>
      </c>
      <c r="B20" s="82" t="str">
        <f>"9"</f>
        <v>9</v>
      </c>
      <c r="C20" s="401" t="s">
        <v>1133</v>
      </c>
      <c r="D20" s="400" t="s">
        <v>263</v>
      </c>
    </row>
    <row r="21" spans="1:25" s="27" customFormat="1" ht="12.75" customHeight="1">
      <c r="A21" s="36"/>
      <c r="B21" s="36"/>
      <c r="C21" s="24"/>
      <c r="D21" s="39"/>
    </row>
    <row r="22" spans="1:25" s="27" customFormat="1" ht="12.75" customHeight="1">
      <c r="A22" s="96" t="s">
        <v>185</v>
      </c>
      <c r="B22" s="96" t="str">
        <f>"1"</f>
        <v>1</v>
      </c>
      <c r="C22" s="84" t="s">
        <v>1134</v>
      </c>
      <c r="D22" s="97" t="s">
        <v>255</v>
      </c>
      <c r="E22" s="27" t="s">
        <v>469</v>
      </c>
      <c r="F22" s="36"/>
      <c r="G22" s="36"/>
      <c r="H22" s="36"/>
      <c r="I22" s="36"/>
      <c r="J22" s="36"/>
      <c r="K22" s="36"/>
      <c r="L22" s="36"/>
      <c r="M22" s="36"/>
      <c r="N22" s="36"/>
      <c r="O22" s="36"/>
      <c r="P22" s="36"/>
      <c r="Q22" s="36"/>
      <c r="R22" s="36"/>
      <c r="S22" s="36"/>
      <c r="T22" s="36"/>
      <c r="U22" s="36"/>
      <c r="V22" s="36"/>
      <c r="W22" s="36"/>
      <c r="X22" s="36"/>
      <c r="Y22" s="36"/>
    </row>
    <row r="23" spans="1:25" s="27" customFormat="1" ht="12.75" customHeight="1">
      <c r="A23" s="96" t="s">
        <v>185</v>
      </c>
      <c r="B23" s="96" t="str">
        <f>"2"</f>
        <v>2</v>
      </c>
      <c r="C23" s="84" t="s">
        <v>1135</v>
      </c>
      <c r="D23" s="97" t="s">
        <v>256</v>
      </c>
      <c r="E23" s="36"/>
      <c r="G23" s="36"/>
      <c r="H23" s="36"/>
      <c r="I23" s="36"/>
      <c r="J23" s="36"/>
      <c r="K23" s="36"/>
      <c r="L23" s="36"/>
      <c r="M23" s="36"/>
      <c r="N23" s="36"/>
      <c r="O23" s="36"/>
      <c r="P23" s="36"/>
      <c r="Q23" s="36"/>
      <c r="R23" s="36"/>
      <c r="S23" s="36"/>
      <c r="T23" s="36"/>
      <c r="U23" s="36"/>
      <c r="V23" s="36"/>
      <c r="W23" s="36"/>
      <c r="X23" s="36"/>
      <c r="Y23" s="36"/>
    </row>
    <row r="24" spans="1:25" s="27" customFormat="1" ht="12.75" customHeight="1">
      <c r="A24" s="36"/>
      <c r="B24" s="36"/>
      <c r="C24" s="24"/>
      <c r="D24" s="39"/>
      <c r="E24" s="36"/>
      <c r="G24" s="36"/>
      <c r="H24" s="36"/>
      <c r="I24" s="36"/>
      <c r="J24" s="36"/>
      <c r="K24" s="36"/>
      <c r="L24" s="36"/>
      <c r="M24" s="36"/>
      <c r="N24" s="36"/>
      <c r="O24" s="36"/>
      <c r="P24" s="36"/>
      <c r="Q24" s="36"/>
      <c r="R24" s="36"/>
      <c r="S24" s="36"/>
      <c r="T24" s="36"/>
      <c r="U24" s="36"/>
      <c r="V24" s="36"/>
      <c r="W24" s="36"/>
      <c r="X24" s="36"/>
      <c r="Y24" s="36"/>
    </row>
    <row r="25" spans="1:25" s="27" customFormat="1" ht="12.75" customHeight="1">
      <c r="A25" s="96" t="s">
        <v>495</v>
      </c>
      <c r="B25" s="96" t="str">
        <f>"1"</f>
        <v>1</v>
      </c>
      <c r="C25" s="125" t="s">
        <v>969</v>
      </c>
      <c r="D25" s="97" t="s">
        <v>1183</v>
      </c>
      <c r="E25" s="36"/>
      <c r="G25" s="36"/>
      <c r="H25" s="36"/>
      <c r="I25" s="36"/>
      <c r="J25" s="36"/>
      <c r="K25" s="36"/>
      <c r="L25" s="36"/>
      <c r="M25" s="36"/>
      <c r="N25" s="36"/>
      <c r="O25" s="36"/>
      <c r="P25" s="36"/>
      <c r="Q25" s="36"/>
      <c r="R25" s="36"/>
      <c r="S25" s="36"/>
      <c r="T25" s="36"/>
      <c r="U25" s="36"/>
      <c r="V25" s="36"/>
      <c r="W25" s="36"/>
      <c r="X25" s="36"/>
      <c r="Y25" s="36"/>
    </row>
    <row r="26" spans="1:25" s="27" customFormat="1" ht="12.75" customHeight="1">
      <c r="A26" s="96" t="s">
        <v>495</v>
      </c>
      <c r="B26" s="96" t="str">
        <f>"2"</f>
        <v>2</v>
      </c>
      <c r="C26" s="125" t="s">
        <v>970</v>
      </c>
      <c r="D26" s="97" t="s">
        <v>1184</v>
      </c>
      <c r="E26" s="36"/>
      <c r="G26" s="36"/>
      <c r="H26" s="36"/>
      <c r="I26" s="36"/>
      <c r="J26" s="36"/>
      <c r="K26" s="36"/>
      <c r="L26" s="36"/>
      <c r="M26" s="36"/>
      <c r="N26" s="36"/>
      <c r="O26" s="36"/>
      <c r="P26" s="36"/>
      <c r="Q26" s="36"/>
      <c r="R26" s="36"/>
      <c r="S26" s="36"/>
      <c r="T26" s="36"/>
      <c r="U26" s="36"/>
      <c r="V26" s="36"/>
      <c r="W26" s="36"/>
      <c r="X26" s="36"/>
      <c r="Y26" s="36"/>
    </row>
    <row r="27" spans="1:25" s="27" customFormat="1" ht="12.75" customHeight="1">
      <c r="A27" s="36"/>
      <c r="B27" s="36"/>
      <c r="C27" s="24"/>
      <c r="D27" s="39"/>
      <c r="E27" s="36"/>
      <c r="G27" s="36"/>
      <c r="H27" s="36"/>
      <c r="I27" s="36"/>
      <c r="J27" s="36"/>
      <c r="K27" s="36"/>
      <c r="L27" s="36"/>
      <c r="M27" s="36"/>
      <c r="N27" s="36"/>
      <c r="O27" s="36"/>
      <c r="P27" s="36"/>
      <c r="Q27" s="36"/>
      <c r="R27" s="36"/>
      <c r="S27" s="36"/>
      <c r="T27" s="36"/>
      <c r="U27" s="36"/>
      <c r="V27" s="36"/>
      <c r="W27" s="36"/>
      <c r="X27" s="36"/>
      <c r="Y27" s="36"/>
    </row>
    <row r="28" spans="1:25" s="27" customFormat="1" ht="12.75" customHeight="1">
      <c r="A28" s="96" t="s">
        <v>496</v>
      </c>
      <c r="B28" s="96" t="str">
        <f>"1"</f>
        <v>1</v>
      </c>
      <c r="C28" s="125" t="s">
        <v>967</v>
      </c>
      <c r="D28" s="97" t="s">
        <v>1182</v>
      </c>
      <c r="E28" s="36"/>
      <c r="G28" s="36"/>
      <c r="H28" s="36"/>
      <c r="I28" s="36"/>
      <c r="J28" s="36"/>
      <c r="K28" s="36"/>
      <c r="L28" s="36"/>
      <c r="M28" s="36"/>
      <c r="N28" s="36"/>
      <c r="O28" s="36"/>
      <c r="P28" s="36"/>
      <c r="Q28" s="36"/>
      <c r="R28" s="36"/>
      <c r="S28" s="36"/>
      <c r="T28" s="36"/>
      <c r="U28" s="36"/>
      <c r="V28" s="36"/>
      <c r="W28" s="36"/>
      <c r="X28" s="36"/>
      <c r="Y28" s="36"/>
    </row>
    <row r="29" spans="1:25" s="27" customFormat="1" ht="12.75" customHeight="1">
      <c r="A29" s="96" t="s">
        <v>496</v>
      </c>
      <c r="B29" s="96" t="str">
        <f>"2"</f>
        <v>2</v>
      </c>
      <c r="C29" s="125" t="s">
        <v>968</v>
      </c>
      <c r="D29" s="97" t="s">
        <v>1310</v>
      </c>
      <c r="E29" s="36"/>
      <c r="G29" s="36"/>
      <c r="H29" s="36"/>
      <c r="I29" s="36"/>
      <c r="J29" s="36"/>
      <c r="K29" s="36"/>
      <c r="L29" s="36"/>
      <c r="M29" s="36"/>
      <c r="N29" s="36"/>
      <c r="O29" s="36"/>
      <c r="P29" s="36"/>
      <c r="Q29" s="36"/>
      <c r="R29" s="36"/>
      <c r="S29" s="36"/>
      <c r="T29" s="36"/>
      <c r="U29" s="36"/>
      <c r="V29" s="36"/>
      <c r="W29" s="36"/>
      <c r="X29" s="36"/>
      <c r="Y29" s="36"/>
    </row>
    <row r="30" spans="1:25" s="27" customFormat="1" ht="12.75" customHeight="1">
      <c r="A30" s="36"/>
      <c r="B30" s="36"/>
      <c r="C30" s="24"/>
      <c r="D30" s="39"/>
      <c r="E30" s="36"/>
      <c r="G30" s="36"/>
      <c r="H30" s="36"/>
      <c r="I30" s="36"/>
      <c r="J30" s="36"/>
      <c r="K30" s="36"/>
      <c r="L30" s="36"/>
      <c r="M30" s="36"/>
      <c r="N30" s="36"/>
      <c r="O30" s="36"/>
      <c r="P30" s="36"/>
      <c r="Q30" s="36"/>
      <c r="R30" s="36"/>
      <c r="S30" s="36"/>
      <c r="T30" s="36"/>
      <c r="U30" s="36"/>
      <c r="V30" s="36"/>
      <c r="W30" s="36"/>
      <c r="X30" s="36"/>
      <c r="Y30" s="36"/>
    </row>
    <row r="31" spans="1:25" s="81" customFormat="1" ht="12.75" customHeight="1">
      <c r="A31" s="96" t="s">
        <v>1311</v>
      </c>
      <c r="B31" s="96" t="str">
        <f>"1"</f>
        <v>1</v>
      </c>
      <c r="C31" s="388" t="s">
        <v>1376</v>
      </c>
      <c r="D31" s="403" t="s">
        <v>1312</v>
      </c>
      <c r="E31" s="96"/>
      <c r="G31" s="96"/>
      <c r="H31" s="96"/>
      <c r="I31" s="96"/>
      <c r="J31" s="96"/>
      <c r="K31" s="96"/>
      <c r="L31" s="96"/>
      <c r="M31" s="96"/>
      <c r="N31" s="96"/>
      <c r="O31" s="96"/>
      <c r="P31" s="96"/>
      <c r="Q31" s="96"/>
      <c r="R31" s="96"/>
      <c r="S31" s="96"/>
      <c r="T31" s="96"/>
      <c r="U31" s="96"/>
      <c r="V31" s="96"/>
      <c r="W31" s="96"/>
      <c r="X31" s="96"/>
      <c r="Y31" s="96"/>
    </row>
    <row r="32" spans="1:25" s="81" customFormat="1" ht="12.75" customHeight="1">
      <c r="A32" s="96" t="s">
        <v>1311</v>
      </c>
      <c r="B32" s="96" t="str">
        <f>"2"</f>
        <v>2</v>
      </c>
      <c r="C32" s="388" t="s">
        <v>1496</v>
      </c>
      <c r="D32" s="403" t="s">
        <v>1313</v>
      </c>
      <c r="E32" s="96"/>
      <c r="G32" s="96"/>
      <c r="H32" s="96"/>
      <c r="I32" s="96"/>
      <c r="J32" s="96"/>
      <c r="K32" s="96"/>
      <c r="L32" s="96"/>
      <c r="M32" s="96"/>
      <c r="N32" s="96"/>
      <c r="O32" s="96"/>
      <c r="P32" s="96"/>
      <c r="Q32" s="96"/>
      <c r="R32" s="96"/>
      <c r="S32" s="96"/>
      <c r="T32" s="96"/>
      <c r="U32" s="96"/>
      <c r="V32" s="96"/>
      <c r="W32" s="96"/>
      <c r="X32" s="96"/>
      <c r="Y32" s="96"/>
    </row>
    <row r="33" spans="1:25" s="27" customFormat="1" ht="12.75" customHeight="1">
      <c r="A33" s="36"/>
      <c r="B33" s="36"/>
      <c r="C33" s="24"/>
      <c r="D33" s="39"/>
      <c r="E33" s="36"/>
      <c r="G33" s="36"/>
      <c r="H33" s="36"/>
      <c r="I33" s="36"/>
      <c r="J33" s="36"/>
      <c r="K33" s="36"/>
      <c r="L33" s="36"/>
      <c r="M33" s="36"/>
      <c r="N33" s="36"/>
      <c r="O33" s="36"/>
      <c r="P33" s="36"/>
      <c r="Q33" s="36"/>
      <c r="R33" s="36"/>
      <c r="S33" s="36"/>
      <c r="T33" s="36"/>
      <c r="U33" s="36"/>
      <c r="V33" s="36"/>
      <c r="W33" s="36"/>
      <c r="X33" s="36"/>
      <c r="Y33" s="36"/>
    </row>
    <row r="34" spans="1:25">
      <c r="A34" s="119" t="s">
        <v>26</v>
      </c>
      <c r="B34" s="120" t="str">
        <f>"1"</f>
        <v>1</v>
      </c>
      <c r="C34" s="121" t="s">
        <v>219</v>
      </c>
      <c r="D34" s="122" t="s">
        <v>64</v>
      </c>
      <c r="E34" s="36" t="s">
        <v>470</v>
      </c>
    </row>
    <row r="35" spans="1:25">
      <c r="A35" s="119" t="s">
        <v>26</v>
      </c>
      <c r="B35" s="120" t="str">
        <f>"2"</f>
        <v>2</v>
      </c>
      <c r="C35" s="121" t="s">
        <v>220</v>
      </c>
      <c r="D35" s="122" t="s">
        <v>65</v>
      </c>
    </row>
    <row r="36" spans="1:25">
      <c r="A36" s="119" t="s">
        <v>26</v>
      </c>
      <c r="B36" s="120" t="str">
        <f>"3"</f>
        <v>3</v>
      </c>
      <c r="C36" s="121" t="s">
        <v>221</v>
      </c>
      <c r="D36" s="122" t="s">
        <v>66</v>
      </c>
    </row>
    <row r="37" spans="1:25">
      <c r="A37" s="119" t="s">
        <v>26</v>
      </c>
      <c r="B37" s="120" t="str">
        <f>"4"</f>
        <v>4</v>
      </c>
      <c r="C37" s="121" t="s">
        <v>222</v>
      </c>
      <c r="D37" s="122" t="s">
        <v>67</v>
      </c>
    </row>
    <row r="38" spans="1:25">
      <c r="A38" s="119" t="s">
        <v>26</v>
      </c>
      <c r="B38" s="120" t="str">
        <f>"5"</f>
        <v>5</v>
      </c>
      <c r="C38" s="121" t="s">
        <v>1136</v>
      </c>
      <c r="D38" s="122" t="s">
        <v>68</v>
      </c>
    </row>
    <row r="39" spans="1:25">
      <c r="A39" s="119" t="s">
        <v>26</v>
      </c>
      <c r="B39" s="120" t="str">
        <f>"6"</f>
        <v>6</v>
      </c>
      <c r="C39" s="121" t="s">
        <v>1137</v>
      </c>
      <c r="D39" s="122" t="s">
        <v>69</v>
      </c>
    </row>
    <row r="40" spans="1:25">
      <c r="A40" s="119" t="s">
        <v>26</v>
      </c>
      <c r="B40" s="120" t="str">
        <f>"7"</f>
        <v>7</v>
      </c>
      <c r="C40" s="328" t="s">
        <v>224</v>
      </c>
      <c r="D40" s="122" t="s">
        <v>70</v>
      </c>
    </row>
    <row r="41" spans="1:25">
      <c r="A41" s="119" t="s">
        <v>26</v>
      </c>
      <c r="B41" s="120" t="str">
        <f>"8"</f>
        <v>8</v>
      </c>
      <c r="C41" s="121" t="s">
        <v>223</v>
      </c>
      <c r="D41" s="122" t="s">
        <v>71</v>
      </c>
    </row>
    <row r="42" spans="1:25">
      <c r="A42" s="119" t="s">
        <v>26</v>
      </c>
      <c r="B42" s="123" t="str">
        <f>"97"</f>
        <v>97</v>
      </c>
      <c r="C42" s="124" t="s">
        <v>1138</v>
      </c>
      <c r="D42" s="122" t="s">
        <v>138</v>
      </c>
    </row>
    <row r="44" spans="1:25">
      <c r="A44" s="119" t="s">
        <v>27</v>
      </c>
      <c r="B44" s="120" t="str">
        <f>"1"</f>
        <v>1</v>
      </c>
      <c r="C44" s="121" t="s">
        <v>225</v>
      </c>
      <c r="D44" s="122" t="s">
        <v>72</v>
      </c>
      <c r="E44" s="36" t="s">
        <v>470</v>
      </c>
    </row>
    <row r="45" spans="1:25">
      <c r="A45" s="119" t="s">
        <v>27</v>
      </c>
      <c r="B45" s="120" t="str">
        <f>"2"</f>
        <v>2</v>
      </c>
      <c r="C45" s="121" t="s">
        <v>1139</v>
      </c>
      <c r="D45" s="122" t="s">
        <v>73</v>
      </c>
    </row>
    <row r="46" spans="1:25">
      <c r="A46" s="119" t="s">
        <v>27</v>
      </c>
      <c r="B46" s="120" t="str">
        <f>"3"</f>
        <v>3</v>
      </c>
      <c r="C46" s="121" t="s">
        <v>1140</v>
      </c>
      <c r="D46" s="122" t="s">
        <v>74</v>
      </c>
    </row>
    <row r="47" spans="1:25">
      <c r="A47" s="119" t="s">
        <v>27</v>
      </c>
      <c r="B47" s="120" t="str">
        <f>"4"</f>
        <v>4</v>
      </c>
      <c r="C47" s="121" t="s">
        <v>1141</v>
      </c>
      <c r="D47" s="122" t="s">
        <v>75</v>
      </c>
    </row>
    <row r="48" spans="1:25">
      <c r="A48" s="119" t="s">
        <v>27</v>
      </c>
      <c r="B48" s="120" t="str">
        <f>"5"</f>
        <v>5</v>
      </c>
      <c r="C48" s="121" t="s">
        <v>1142</v>
      </c>
      <c r="D48" s="122" t="s">
        <v>76</v>
      </c>
    </row>
    <row r="49" spans="1:5">
      <c r="A49" s="119" t="s">
        <v>27</v>
      </c>
      <c r="B49" s="120" t="str">
        <f>"6"</f>
        <v>6</v>
      </c>
      <c r="C49" s="121" t="s">
        <v>226</v>
      </c>
      <c r="D49" s="122" t="s">
        <v>77</v>
      </c>
    </row>
    <row r="50" spans="1:5">
      <c r="A50" s="119" t="s">
        <v>27</v>
      </c>
      <c r="B50" s="123" t="str">
        <f>"97"</f>
        <v>97</v>
      </c>
      <c r="C50" s="124" t="s">
        <v>1138</v>
      </c>
      <c r="D50" s="122" t="s">
        <v>138</v>
      </c>
    </row>
    <row r="52" spans="1:5">
      <c r="A52" s="119" t="s">
        <v>28</v>
      </c>
      <c r="B52" s="120" t="str">
        <f>"1"</f>
        <v>1</v>
      </c>
      <c r="C52" s="121" t="s">
        <v>1143</v>
      </c>
      <c r="D52" s="122" t="s">
        <v>78</v>
      </c>
      <c r="E52" s="36" t="s">
        <v>470</v>
      </c>
    </row>
    <row r="53" spans="1:5">
      <c r="A53" s="119" t="s">
        <v>28</v>
      </c>
      <c r="B53" s="120" t="str">
        <f>"2"</f>
        <v>2</v>
      </c>
      <c r="C53" s="121" t="s">
        <v>1144</v>
      </c>
      <c r="D53" s="122" t="s">
        <v>79</v>
      </c>
    </row>
    <row r="54" spans="1:5">
      <c r="A54" s="119" t="s">
        <v>28</v>
      </c>
      <c r="B54" s="120" t="str">
        <f>"3"</f>
        <v>3</v>
      </c>
      <c r="C54" s="121" t="s">
        <v>227</v>
      </c>
      <c r="D54" s="122" t="s">
        <v>80</v>
      </c>
    </row>
    <row r="55" spans="1:5">
      <c r="A55" s="119" t="s">
        <v>28</v>
      </c>
      <c r="B55" s="120" t="str">
        <f>"4"</f>
        <v>4</v>
      </c>
      <c r="C55" s="121" t="s">
        <v>1497</v>
      </c>
      <c r="D55" s="122" t="s">
        <v>81</v>
      </c>
    </row>
    <row r="56" spans="1:5">
      <c r="A56" s="119" t="s">
        <v>28</v>
      </c>
      <c r="B56" s="120" t="str">
        <f>"5"</f>
        <v>5</v>
      </c>
      <c r="C56" s="121" t="s">
        <v>1145</v>
      </c>
      <c r="D56" s="122" t="s">
        <v>82</v>
      </c>
    </row>
    <row r="57" spans="1:5">
      <c r="A57" s="119" t="s">
        <v>28</v>
      </c>
      <c r="B57" s="120" t="str">
        <f>"6"</f>
        <v>6</v>
      </c>
      <c r="C57" s="121" t="s">
        <v>228</v>
      </c>
      <c r="D57" s="122" t="s">
        <v>83</v>
      </c>
    </row>
    <row r="58" spans="1:5">
      <c r="A58" s="119" t="s">
        <v>28</v>
      </c>
      <c r="B58" s="123" t="str">
        <f>"97"</f>
        <v>97</v>
      </c>
      <c r="C58" s="124" t="s">
        <v>1138</v>
      </c>
      <c r="D58" s="122" t="s">
        <v>138</v>
      </c>
    </row>
    <row r="60" spans="1:5">
      <c r="A60" s="119" t="s">
        <v>29</v>
      </c>
      <c r="B60" s="120" t="str">
        <f>"1"</f>
        <v>1</v>
      </c>
      <c r="C60" s="121" t="s">
        <v>229</v>
      </c>
      <c r="D60" s="122" t="s">
        <v>84</v>
      </c>
      <c r="E60" s="36" t="s">
        <v>470</v>
      </c>
    </row>
    <row r="61" spans="1:5">
      <c r="A61" s="119" t="s">
        <v>29</v>
      </c>
      <c r="B61" s="120" t="str">
        <f>"2"</f>
        <v>2</v>
      </c>
      <c r="C61" s="121" t="s">
        <v>230</v>
      </c>
      <c r="D61" s="122" t="s">
        <v>85</v>
      </c>
    </row>
    <row r="62" spans="1:5">
      <c r="A62" s="119" t="s">
        <v>29</v>
      </c>
      <c r="B62" s="120" t="str">
        <f>"3"</f>
        <v>3</v>
      </c>
      <c r="C62" s="121" t="s">
        <v>231</v>
      </c>
      <c r="D62" s="122" t="s">
        <v>86</v>
      </c>
    </row>
    <row r="63" spans="1:5">
      <c r="A63" s="119" t="s">
        <v>29</v>
      </c>
      <c r="B63" s="120" t="str">
        <f>"4"</f>
        <v>4</v>
      </c>
      <c r="C63" s="121" t="s">
        <v>1146</v>
      </c>
      <c r="D63" s="122" t="s">
        <v>87</v>
      </c>
    </row>
    <row r="64" spans="1:5">
      <c r="A64" s="119" t="s">
        <v>29</v>
      </c>
      <c r="B64" s="120" t="str">
        <f>"5"</f>
        <v>5</v>
      </c>
      <c r="C64" s="121" t="s">
        <v>1498</v>
      </c>
      <c r="D64" s="122" t="s">
        <v>88</v>
      </c>
    </row>
    <row r="65" spans="1:5">
      <c r="A65" s="119" t="s">
        <v>29</v>
      </c>
      <c r="B65" s="120" t="str">
        <f>"6"</f>
        <v>6</v>
      </c>
      <c r="C65" s="121" t="s">
        <v>1147</v>
      </c>
      <c r="D65" s="122" t="s">
        <v>89</v>
      </c>
    </row>
    <row r="66" spans="1:5">
      <c r="A66" s="119" t="s">
        <v>29</v>
      </c>
      <c r="B66" s="123" t="str">
        <f>"97"</f>
        <v>97</v>
      </c>
      <c r="C66" s="124" t="s">
        <v>1138</v>
      </c>
      <c r="D66" s="122" t="s">
        <v>138</v>
      </c>
    </row>
    <row r="68" spans="1:5">
      <c r="A68" s="119" t="s">
        <v>41</v>
      </c>
      <c r="B68" s="120" t="str">
        <f>"1"</f>
        <v>1</v>
      </c>
      <c r="C68" s="121" t="s">
        <v>232</v>
      </c>
      <c r="D68" s="122" t="s">
        <v>90</v>
      </c>
      <c r="E68" s="36" t="s">
        <v>470</v>
      </c>
    </row>
    <row r="69" spans="1:5">
      <c r="A69" s="119" t="s">
        <v>41</v>
      </c>
      <c r="B69" s="120" t="str">
        <f>"2"</f>
        <v>2</v>
      </c>
      <c r="C69" s="121" t="s">
        <v>233</v>
      </c>
      <c r="D69" s="122" t="s">
        <v>91</v>
      </c>
    </row>
    <row r="70" spans="1:5">
      <c r="A70" s="119" t="s">
        <v>41</v>
      </c>
      <c r="B70" s="120" t="str">
        <f>"3"</f>
        <v>3</v>
      </c>
      <c r="C70" s="121" t="s">
        <v>1148</v>
      </c>
      <c r="D70" s="122" t="s">
        <v>92</v>
      </c>
    </row>
    <row r="71" spans="1:5">
      <c r="A71" s="119" t="s">
        <v>41</v>
      </c>
      <c r="B71" s="120" t="str">
        <f>"4"</f>
        <v>4</v>
      </c>
      <c r="C71" s="121" t="s">
        <v>1149</v>
      </c>
      <c r="D71" s="122" t="s">
        <v>93</v>
      </c>
    </row>
    <row r="72" spans="1:5">
      <c r="A72" s="119" t="s">
        <v>41</v>
      </c>
      <c r="B72" s="120" t="str">
        <f>"5"</f>
        <v>5</v>
      </c>
      <c r="C72" s="121" t="s">
        <v>1150</v>
      </c>
      <c r="D72" s="122" t="s">
        <v>94</v>
      </c>
    </row>
    <row r="73" spans="1:5">
      <c r="A73" s="119" t="s">
        <v>41</v>
      </c>
      <c r="B73" s="120" t="str">
        <f>"6"</f>
        <v>6</v>
      </c>
      <c r="C73" s="121" t="s">
        <v>1151</v>
      </c>
      <c r="D73" s="122" t="s">
        <v>95</v>
      </c>
    </row>
    <row r="74" spans="1:5" s="386" customFormat="1">
      <c r="A74" s="386" t="s">
        <v>1306</v>
      </c>
      <c r="B74" s="386" t="str">
        <f>"7"</f>
        <v>7</v>
      </c>
      <c r="C74" s="388" t="s">
        <v>1307</v>
      </c>
      <c r="D74" s="386" t="s">
        <v>1308</v>
      </c>
      <c r="E74" s="387"/>
    </row>
    <row r="75" spans="1:5">
      <c r="A75" s="119" t="s">
        <v>41</v>
      </c>
      <c r="B75" s="123" t="str">
        <f>"97"</f>
        <v>97</v>
      </c>
      <c r="C75" s="124" t="s">
        <v>1138</v>
      </c>
      <c r="D75" s="122" t="s">
        <v>138</v>
      </c>
    </row>
    <row r="77" spans="1:5" ht="15.75" customHeight="1">
      <c r="A77" s="119" t="s">
        <v>40</v>
      </c>
      <c r="B77" s="120" t="str">
        <f>"1"</f>
        <v>1</v>
      </c>
      <c r="C77" s="121" t="s">
        <v>1152</v>
      </c>
      <c r="D77" s="122" t="s">
        <v>96</v>
      </c>
      <c r="E77" s="36" t="s">
        <v>470</v>
      </c>
    </row>
    <row r="78" spans="1:5">
      <c r="A78" s="119" t="s">
        <v>40</v>
      </c>
      <c r="B78" s="120" t="str">
        <f>"2"</f>
        <v>2</v>
      </c>
      <c r="C78" s="121" t="s">
        <v>1153</v>
      </c>
      <c r="D78" s="122" t="s">
        <v>97</v>
      </c>
    </row>
    <row r="79" spans="1:5">
      <c r="A79" s="119" t="s">
        <v>40</v>
      </c>
      <c r="B79" s="120" t="str">
        <f>"3"</f>
        <v>3</v>
      </c>
      <c r="C79" s="121" t="s">
        <v>1154</v>
      </c>
      <c r="D79" s="122" t="s">
        <v>98</v>
      </c>
    </row>
    <row r="80" spans="1:5">
      <c r="A80" s="119" t="s">
        <v>40</v>
      </c>
      <c r="B80" s="120" t="str">
        <f>"4"</f>
        <v>4</v>
      </c>
      <c r="C80" s="121" t="s">
        <v>234</v>
      </c>
      <c r="D80" s="122" t="s">
        <v>99</v>
      </c>
    </row>
    <row r="81" spans="1:5">
      <c r="A81" s="119" t="s">
        <v>40</v>
      </c>
      <c r="B81" s="120" t="str">
        <f>"5"</f>
        <v>5</v>
      </c>
      <c r="C81" s="121" t="s">
        <v>236</v>
      </c>
      <c r="D81" s="122" t="s">
        <v>100</v>
      </c>
    </row>
    <row r="82" spans="1:5">
      <c r="A82" s="119" t="s">
        <v>40</v>
      </c>
      <c r="B82" s="120" t="str">
        <f>"6"</f>
        <v>6</v>
      </c>
      <c r="C82" s="121" t="s">
        <v>237</v>
      </c>
      <c r="D82" s="122" t="s">
        <v>101</v>
      </c>
    </row>
    <row r="83" spans="1:5">
      <c r="A83" s="119" t="s">
        <v>40</v>
      </c>
      <c r="B83" s="120" t="str">
        <f>"7"</f>
        <v>7</v>
      </c>
      <c r="C83" s="121" t="s">
        <v>1155</v>
      </c>
      <c r="D83" s="122" t="s">
        <v>102</v>
      </c>
    </row>
    <row r="84" spans="1:5">
      <c r="A84" s="119" t="s">
        <v>40</v>
      </c>
      <c r="B84" s="120" t="str">
        <f>"8"</f>
        <v>8</v>
      </c>
      <c r="C84" s="121" t="s">
        <v>238</v>
      </c>
      <c r="D84" s="122" t="s">
        <v>103</v>
      </c>
    </row>
    <row r="85" spans="1:5">
      <c r="A85" s="119" t="s">
        <v>40</v>
      </c>
      <c r="B85" s="123" t="str">
        <f>"97"</f>
        <v>97</v>
      </c>
      <c r="C85" s="124" t="s">
        <v>1138</v>
      </c>
      <c r="D85" s="122" t="s">
        <v>138</v>
      </c>
    </row>
    <row r="87" spans="1:5">
      <c r="A87" s="119" t="s">
        <v>37</v>
      </c>
      <c r="B87" s="120" t="str">
        <f>"1"</f>
        <v>1</v>
      </c>
      <c r="C87" s="121" t="str">
        <f>C77</f>
        <v xml:space="preserve">1. مواسير شبكة مياه عامة  - حنفية  داخل الوحدة السكنية </v>
      </c>
      <c r="D87" s="122" t="str">
        <f>D77</f>
        <v>1. Tap water inside the dwelling</v>
      </c>
      <c r="E87" s="36" t="s">
        <v>470</v>
      </c>
    </row>
    <row r="88" spans="1:5">
      <c r="A88" s="119" t="s">
        <v>37</v>
      </c>
      <c r="B88" s="120" t="str">
        <f>"2"</f>
        <v>2</v>
      </c>
      <c r="C88" s="121" t="str">
        <f>C78</f>
        <v xml:space="preserve">2. مواسير شبكة مياه عامة  - حنفية خارج الوحدة السكنية </v>
      </c>
      <c r="D88" s="122" t="str">
        <f>D78</f>
        <v>2. Tap water outside the dwelling</v>
      </c>
    </row>
    <row r="89" spans="1:5">
      <c r="A89" s="119" t="s">
        <v>37</v>
      </c>
      <c r="B89" s="120" t="str">
        <f>"3"</f>
        <v>3</v>
      </c>
      <c r="C89" s="121" t="s">
        <v>1154</v>
      </c>
      <c r="D89" s="122" t="s">
        <v>98</v>
      </c>
    </row>
    <row r="90" spans="1:5">
      <c r="A90" s="119" t="s">
        <v>37</v>
      </c>
      <c r="B90" s="120" t="str">
        <f>"4"</f>
        <v>4</v>
      </c>
      <c r="C90" s="121" t="s">
        <v>235</v>
      </c>
      <c r="D90" s="122" t="s">
        <v>99</v>
      </c>
    </row>
    <row r="91" spans="1:5">
      <c r="A91" s="119" t="s">
        <v>37</v>
      </c>
      <c r="B91" s="120" t="str">
        <f>"5"</f>
        <v>5</v>
      </c>
      <c r="C91" s="121" t="s">
        <v>236</v>
      </c>
      <c r="D91" s="122" t="s">
        <v>100</v>
      </c>
    </row>
    <row r="92" spans="1:5">
      <c r="A92" s="119" t="s">
        <v>37</v>
      </c>
      <c r="B92" s="120" t="str">
        <f>"6"</f>
        <v>6</v>
      </c>
      <c r="C92" s="121" t="s">
        <v>237</v>
      </c>
      <c r="D92" s="122" t="s">
        <v>101</v>
      </c>
    </row>
    <row r="93" spans="1:5">
      <c r="A93" s="119" t="s">
        <v>37</v>
      </c>
      <c r="B93" s="120" t="str">
        <f>"7"</f>
        <v>7</v>
      </c>
      <c r="C93" s="121" t="s">
        <v>1156</v>
      </c>
      <c r="D93" s="122" t="s">
        <v>102</v>
      </c>
    </row>
    <row r="94" spans="1:5">
      <c r="A94" s="119" t="s">
        <v>37</v>
      </c>
      <c r="B94" s="120" t="str">
        <f>"8"</f>
        <v>8</v>
      </c>
      <c r="C94" s="121" t="s">
        <v>238</v>
      </c>
      <c r="D94" s="122" t="s">
        <v>103</v>
      </c>
    </row>
    <row r="95" spans="1:5">
      <c r="A95" s="119" t="s">
        <v>37</v>
      </c>
      <c r="B95" s="123" t="str">
        <f>"97"</f>
        <v>97</v>
      </c>
      <c r="C95" s="124" t="s">
        <v>1138</v>
      </c>
      <c r="D95" s="122" t="s">
        <v>138</v>
      </c>
    </row>
    <row r="97" spans="1:5">
      <c r="A97" s="119" t="s">
        <v>30</v>
      </c>
      <c r="B97" s="120" t="str">
        <f>"1"</f>
        <v>1</v>
      </c>
      <c r="C97" s="121" t="s">
        <v>1157</v>
      </c>
      <c r="D97" s="122" t="s">
        <v>104</v>
      </c>
      <c r="E97" s="36" t="s">
        <v>470</v>
      </c>
    </row>
    <row r="98" spans="1:5">
      <c r="A98" s="119" t="s">
        <v>30</v>
      </c>
      <c r="B98" s="120" t="str">
        <f>"2"</f>
        <v>2</v>
      </c>
      <c r="C98" s="121" t="s">
        <v>243</v>
      </c>
      <c r="D98" s="122" t="s">
        <v>105</v>
      </c>
    </row>
    <row r="99" spans="1:5">
      <c r="A99" s="119" t="s">
        <v>30</v>
      </c>
      <c r="B99" s="120" t="str">
        <f>"3"</f>
        <v>3</v>
      </c>
      <c r="C99" s="121" t="s">
        <v>1158</v>
      </c>
      <c r="D99" s="122" t="s">
        <v>106</v>
      </c>
    </row>
    <row r="100" spans="1:5">
      <c r="A100" s="119" t="s">
        <v>30</v>
      </c>
      <c r="B100" s="120" t="str">
        <f>"4"</f>
        <v>4</v>
      </c>
      <c r="C100" s="121" t="s">
        <v>244</v>
      </c>
      <c r="D100" s="122" t="s">
        <v>107</v>
      </c>
    </row>
    <row r="101" spans="1:5">
      <c r="A101" s="119" t="s">
        <v>30</v>
      </c>
      <c r="B101" s="120" t="str">
        <f>"5"</f>
        <v>5</v>
      </c>
      <c r="C101" s="121" t="s">
        <v>1159</v>
      </c>
      <c r="D101" s="122" t="s">
        <v>116</v>
      </c>
    </row>
    <row r="102" spans="1:5">
      <c r="A102" s="119" t="s">
        <v>30</v>
      </c>
      <c r="B102" s="123" t="str">
        <f>"97"</f>
        <v>97</v>
      </c>
      <c r="C102" s="124" t="s">
        <v>1138</v>
      </c>
      <c r="D102" s="122" t="s">
        <v>138</v>
      </c>
    </row>
    <row r="104" spans="1:5">
      <c r="A104" s="119" t="s">
        <v>31</v>
      </c>
      <c r="B104" s="120" t="str">
        <f>"1"</f>
        <v>1</v>
      </c>
      <c r="C104" s="121" t="s">
        <v>1160</v>
      </c>
      <c r="D104" s="122" t="s">
        <v>1164</v>
      </c>
      <c r="E104" s="36" t="s">
        <v>470</v>
      </c>
    </row>
    <row r="105" spans="1:5">
      <c r="A105" s="119" t="s">
        <v>31</v>
      </c>
      <c r="B105" s="120" t="str">
        <f>"2"</f>
        <v>2</v>
      </c>
      <c r="C105" s="121" t="s">
        <v>245</v>
      </c>
      <c r="D105" s="122" t="s">
        <v>108</v>
      </c>
    </row>
    <row r="106" spans="1:5">
      <c r="A106" s="119" t="s">
        <v>31</v>
      </c>
      <c r="B106" s="120" t="str">
        <f>"3"</f>
        <v>3</v>
      </c>
      <c r="C106" s="121" t="s">
        <v>1161</v>
      </c>
      <c r="D106" s="122" t="s">
        <v>109</v>
      </c>
    </row>
    <row r="107" spans="1:5">
      <c r="A107" s="119" t="s">
        <v>31</v>
      </c>
      <c r="B107" s="120" t="str">
        <f>"4"</f>
        <v>4</v>
      </c>
      <c r="C107" s="121" t="s">
        <v>1162</v>
      </c>
      <c r="D107" s="122" t="s">
        <v>110</v>
      </c>
    </row>
    <row r="108" spans="1:5">
      <c r="A108" s="119" t="s">
        <v>31</v>
      </c>
      <c r="B108" s="120" t="str">
        <f>"5"</f>
        <v>5</v>
      </c>
      <c r="C108" s="121" t="s">
        <v>246</v>
      </c>
      <c r="D108" s="122" t="s">
        <v>111</v>
      </c>
    </row>
    <row r="109" spans="1:5">
      <c r="A109" s="119" t="s">
        <v>31</v>
      </c>
      <c r="B109" s="120" t="str">
        <f>"6"</f>
        <v>6</v>
      </c>
      <c r="C109" s="121" t="s">
        <v>1163</v>
      </c>
      <c r="D109" s="122" t="s">
        <v>1165</v>
      </c>
    </row>
    <row r="110" spans="1:5">
      <c r="A110" s="119" t="s">
        <v>31</v>
      </c>
      <c r="B110" s="123" t="str">
        <f>"97"</f>
        <v>97</v>
      </c>
      <c r="C110" s="124" t="s">
        <v>1138</v>
      </c>
      <c r="D110" s="122" t="s">
        <v>138</v>
      </c>
    </row>
    <row r="112" spans="1:5">
      <c r="A112" s="119" t="s">
        <v>39</v>
      </c>
      <c r="B112" s="120" t="str">
        <f>"1"</f>
        <v>1</v>
      </c>
      <c r="C112" s="121" t="s">
        <v>1160</v>
      </c>
      <c r="D112" s="122" t="s">
        <v>1164</v>
      </c>
      <c r="E112" s="36" t="s">
        <v>470</v>
      </c>
    </row>
    <row r="113" spans="1:5">
      <c r="A113" s="119" t="s">
        <v>39</v>
      </c>
      <c r="B113" s="120" t="str">
        <f>"2"</f>
        <v>2</v>
      </c>
      <c r="C113" s="121" t="s">
        <v>245</v>
      </c>
      <c r="D113" s="122" t="s">
        <v>108</v>
      </c>
    </row>
    <row r="114" spans="1:5">
      <c r="A114" s="119" t="s">
        <v>39</v>
      </c>
      <c r="B114" s="120" t="str">
        <f>"3"</f>
        <v>3</v>
      </c>
      <c r="C114" s="121" t="s">
        <v>1161</v>
      </c>
      <c r="D114" s="122" t="s">
        <v>109</v>
      </c>
    </row>
    <row r="115" spans="1:5">
      <c r="A115" s="119" t="s">
        <v>39</v>
      </c>
      <c r="B115" s="120" t="str">
        <f>"4"</f>
        <v>4</v>
      </c>
      <c r="C115" s="121" t="s">
        <v>1162</v>
      </c>
      <c r="D115" s="122" t="s">
        <v>110</v>
      </c>
    </row>
    <row r="116" spans="1:5">
      <c r="A116" s="119" t="s">
        <v>39</v>
      </c>
      <c r="B116" s="120" t="str">
        <f>"5"</f>
        <v>5</v>
      </c>
      <c r="C116" s="121" t="s">
        <v>246</v>
      </c>
      <c r="D116" s="122" t="s">
        <v>111</v>
      </c>
    </row>
    <row r="117" spans="1:5">
      <c r="A117" s="119" t="s">
        <v>39</v>
      </c>
      <c r="B117" s="120" t="str">
        <f>"6"</f>
        <v>6</v>
      </c>
      <c r="C117" s="121" t="s">
        <v>1163</v>
      </c>
      <c r="D117" s="122" t="s">
        <v>1165</v>
      </c>
    </row>
    <row r="118" spans="1:5">
      <c r="A118" s="119" t="s">
        <v>39</v>
      </c>
      <c r="B118" s="120" t="str">
        <f>"7"</f>
        <v>7</v>
      </c>
      <c r="C118" s="121" t="s">
        <v>1166</v>
      </c>
      <c r="D118" s="122" t="s">
        <v>118</v>
      </c>
    </row>
    <row r="119" spans="1:5">
      <c r="A119" s="119" t="s">
        <v>39</v>
      </c>
      <c r="B119" s="123" t="str">
        <f>"97"</f>
        <v>97</v>
      </c>
      <c r="C119" s="124" t="s">
        <v>1138</v>
      </c>
      <c r="D119" s="122" t="s">
        <v>138</v>
      </c>
    </row>
    <row r="121" spans="1:5">
      <c r="A121" s="119" t="s">
        <v>38</v>
      </c>
      <c r="B121" s="120" t="str">
        <f>"1"</f>
        <v>1</v>
      </c>
      <c r="C121" s="121" t="s">
        <v>247</v>
      </c>
      <c r="D121" s="122" t="s">
        <v>112</v>
      </c>
      <c r="E121" s="36" t="s">
        <v>470</v>
      </c>
    </row>
    <row r="122" spans="1:5">
      <c r="A122" s="119" t="s">
        <v>38</v>
      </c>
      <c r="B122" s="120" t="str">
        <f>"2"</f>
        <v>2</v>
      </c>
      <c r="C122" s="121" t="s">
        <v>248</v>
      </c>
      <c r="D122" s="122" t="s">
        <v>113</v>
      </c>
    </row>
    <row r="123" spans="1:5">
      <c r="A123" s="119" t="s">
        <v>38</v>
      </c>
      <c r="B123" s="120" t="str">
        <f>"3"</f>
        <v>3</v>
      </c>
      <c r="C123" s="121" t="s">
        <v>249</v>
      </c>
      <c r="D123" s="122" t="s">
        <v>114</v>
      </c>
    </row>
    <row r="124" spans="1:5">
      <c r="A124" s="119" t="s">
        <v>38</v>
      </c>
      <c r="B124" s="120" t="str">
        <f>"4"</f>
        <v>4</v>
      </c>
      <c r="C124" s="121" t="s">
        <v>1168</v>
      </c>
      <c r="D124" s="122" t="s">
        <v>115</v>
      </c>
    </row>
    <row r="125" spans="1:5">
      <c r="A125" s="119" t="s">
        <v>38</v>
      </c>
      <c r="B125" s="120" t="str">
        <f>"5"</f>
        <v>5</v>
      </c>
      <c r="C125" s="121" t="s">
        <v>1159</v>
      </c>
      <c r="D125" s="122" t="s">
        <v>116</v>
      </c>
    </row>
    <row r="126" spans="1:5">
      <c r="A126" s="119" t="s">
        <v>38</v>
      </c>
      <c r="B126" s="120" t="str">
        <f>"6"</f>
        <v>6</v>
      </c>
      <c r="C126" s="121" t="s">
        <v>250</v>
      </c>
      <c r="D126" s="122" t="s">
        <v>117</v>
      </c>
    </row>
    <row r="127" spans="1:5">
      <c r="A127" s="119" t="s">
        <v>38</v>
      </c>
      <c r="B127" s="120" t="str">
        <f>"7"</f>
        <v>7</v>
      </c>
      <c r="C127" s="121" t="s">
        <v>1167</v>
      </c>
      <c r="D127" s="122" t="s">
        <v>118</v>
      </c>
    </row>
    <row r="128" spans="1:5">
      <c r="A128" s="119" t="s">
        <v>38</v>
      </c>
      <c r="B128" s="123" t="str">
        <f>"97"</f>
        <v>97</v>
      </c>
      <c r="C128" s="124" t="s">
        <v>1138</v>
      </c>
      <c r="D128" s="122" t="s">
        <v>138</v>
      </c>
    </row>
    <row r="130" spans="1:5">
      <c r="A130" s="119" t="s">
        <v>32</v>
      </c>
      <c r="B130" s="120" t="str">
        <f>"1"</f>
        <v>1</v>
      </c>
      <c r="C130" s="121" t="s">
        <v>251</v>
      </c>
      <c r="D130" s="122" t="s">
        <v>119</v>
      </c>
      <c r="E130" s="36" t="s">
        <v>470</v>
      </c>
    </row>
    <row r="131" spans="1:5">
      <c r="A131" s="119" t="s">
        <v>32</v>
      </c>
      <c r="B131" s="120" t="str">
        <f>"2"</f>
        <v>2</v>
      </c>
      <c r="C131" s="121" t="s">
        <v>1169</v>
      </c>
      <c r="D131" s="122" t="s">
        <v>120</v>
      </c>
    </row>
    <row r="132" spans="1:5">
      <c r="A132" s="119" t="s">
        <v>32</v>
      </c>
      <c r="B132" s="120" t="str">
        <f>"3"</f>
        <v>3</v>
      </c>
      <c r="C132" s="121" t="s">
        <v>396</v>
      </c>
      <c r="D132" s="122" t="s">
        <v>121</v>
      </c>
    </row>
    <row r="133" spans="1:5">
      <c r="A133" s="119" t="s">
        <v>32</v>
      </c>
      <c r="B133" s="120" t="str">
        <f>"4"</f>
        <v>4</v>
      </c>
      <c r="C133" s="121" t="s">
        <v>1170</v>
      </c>
      <c r="D133" s="122" t="s">
        <v>122</v>
      </c>
    </row>
    <row r="134" spans="1:5">
      <c r="A134" s="119" t="s">
        <v>32</v>
      </c>
      <c r="B134" s="120" t="str">
        <f>"5"</f>
        <v>5</v>
      </c>
      <c r="C134" s="121" t="s">
        <v>1171</v>
      </c>
      <c r="D134" s="122" t="s">
        <v>123</v>
      </c>
    </row>
    <row r="135" spans="1:5">
      <c r="A135" s="119" t="s">
        <v>32</v>
      </c>
      <c r="B135" s="120" t="str">
        <f>"6"</f>
        <v>6</v>
      </c>
      <c r="C135" s="121" t="s">
        <v>395</v>
      </c>
      <c r="D135" s="122" t="s">
        <v>124</v>
      </c>
    </row>
    <row r="136" spans="1:5">
      <c r="A136" s="119" t="s">
        <v>32</v>
      </c>
      <c r="B136" s="123" t="str">
        <f>"97"</f>
        <v>97</v>
      </c>
      <c r="C136" s="124" t="s">
        <v>1138</v>
      </c>
      <c r="D136" s="122" t="s">
        <v>138</v>
      </c>
    </row>
    <row r="138" spans="1:5">
      <c r="A138" s="119" t="s">
        <v>33</v>
      </c>
      <c r="B138" s="120" t="str">
        <f>"1"</f>
        <v>1</v>
      </c>
      <c r="C138" s="469" t="s">
        <v>1541</v>
      </c>
      <c r="D138" s="122" t="s">
        <v>125</v>
      </c>
      <c r="E138" s="36" t="s">
        <v>470</v>
      </c>
    </row>
    <row r="139" spans="1:5">
      <c r="A139" s="119" t="s">
        <v>33</v>
      </c>
      <c r="B139" s="120" t="str">
        <f>"2"</f>
        <v>2</v>
      </c>
      <c r="C139" s="469" t="s">
        <v>1542</v>
      </c>
      <c r="D139" s="122" t="s">
        <v>1172</v>
      </c>
    </row>
    <row r="140" spans="1:5">
      <c r="A140" s="119" t="s">
        <v>33</v>
      </c>
      <c r="B140" s="120" t="str">
        <f>"3"</f>
        <v>3</v>
      </c>
      <c r="C140" s="469" t="s">
        <v>1543</v>
      </c>
      <c r="D140" s="122" t="s">
        <v>1173</v>
      </c>
    </row>
    <row r="141" spans="1:5">
      <c r="A141" s="119" t="s">
        <v>33</v>
      </c>
      <c r="B141" s="120" t="str">
        <f>"4"</f>
        <v>4</v>
      </c>
      <c r="C141" s="469" t="s">
        <v>1544</v>
      </c>
      <c r="D141" s="122" t="s">
        <v>1174</v>
      </c>
    </row>
    <row r="142" spans="1:5">
      <c r="A142" s="119" t="s">
        <v>33</v>
      </c>
      <c r="B142" s="120" t="str">
        <f>"5"</f>
        <v>5</v>
      </c>
      <c r="C142" s="469" t="s">
        <v>1545</v>
      </c>
      <c r="D142" s="122" t="s">
        <v>1175</v>
      </c>
    </row>
    <row r="143" spans="1:5">
      <c r="A143" s="119" t="s">
        <v>33</v>
      </c>
      <c r="B143" s="120" t="str">
        <f>"6"</f>
        <v>6</v>
      </c>
      <c r="C143" s="469" t="s">
        <v>1546</v>
      </c>
      <c r="D143" s="122" t="s">
        <v>1176</v>
      </c>
    </row>
    <row r="144" spans="1:5">
      <c r="A144" s="119" t="s">
        <v>33</v>
      </c>
      <c r="B144" s="123" t="str">
        <f>"97"</f>
        <v>97</v>
      </c>
      <c r="C144" s="124" t="s">
        <v>1138</v>
      </c>
      <c r="D144" s="122" t="s">
        <v>138</v>
      </c>
    </row>
    <row r="145" spans="1:5">
      <c r="A145" s="119" t="s">
        <v>33</v>
      </c>
      <c r="B145" s="120" t="str">
        <f>"98"</f>
        <v>98</v>
      </c>
      <c r="C145" s="121" t="s">
        <v>1589</v>
      </c>
      <c r="D145" s="470" t="s">
        <v>307</v>
      </c>
    </row>
    <row r="147" spans="1:5">
      <c r="A147" s="119" t="s">
        <v>35</v>
      </c>
      <c r="B147" s="120" t="str">
        <f>"1"</f>
        <v>1</v>
      </c>
      <c r="C147" s="121" t="s">
        <v>1177</v>
      </c>
      <c r="D147" s="122" t="s">
        <v>127</v>
      </c>
      <c r="E147" s="36" t="s">
        <v>470</v>
      </c>
    </row>
    <row r="148" spans="1:5">
      <c r="A148" s="119" t="s">
        <v>35</v>
      </c>
      <c r="B148" s="120" t="str">
        <f>"2"</f>
        <v>2</v>
      </c>
      <c r="C148" s="121" t="s">
        <v>1178</v>
      </c>
      <c r="D148" s="122" t="s">
        <v>128</v>
      </c>
    </row>
    <row r="149" spans="1:5">
      <c r="A149" s="119" t="s">
        <v>35</v>
      </c>
      <c r="B149" s="120" t="str">
        <f>"3"</f>
        <v>3</v>
      </c>
      <c r="C149" s="121" t="s">
        <v>252</v>
      </c>
      <c r="D149" s="122" t="s">
        <v>129</v>
      </c>
    </row>
    <row r="150" spans="1:5">
      <c r="A150" s="119" t="s">
        <v>35</v>
      </c>
      <c r="B150" s="120" t="str">
        <f>"4"</f>
        <v>4</v>
      </c>
      <c r="C150" s="121" t="s">
        <v>1179</v>
      </c>
      <c r="D150" s="122" t="s">
        <v>130</v>
      </c>
    </row>
    <row r="151" spans="1:5">
      <c r="A151" s="119" t="s">
        <v>35</v>
      </c>
      <c r="B151" s="120" t="str">
        <f>"5"</f>
        <v>5</v>
      </c>
      <c r="C151" s="121" t="s">
        <v>253</v>
      </c>
      <c r="D151" s="122" t="s">
        <v>131</v>
      </c>
    </row>
    <row r="152" spans="1:5">
      <c r="A152" s="119" t="s">
        <v>35</v>
      </c>
      <c r="B152" s="120" t="str">
        <f>"6"</f>
        <v>6</v>
      </c>
      <c r="C152" s="121" t="s">
        <v>1180</v>
      </c>
      <c r="D152" s="122" t="s">
        <v>132</v>
      </c>
    </row>
    <row r="153" spans="1:5">
      <c r="A153" s="119" t="s">
        <v>35</v>
      </c>
      <c r="B153" s="123" t="str">
        <f>"97"</f>
        <v>97</v>
      </c>
      <c r="C153" s="124" t="s">
        <v>1138</v>
      </c>
      <c r="D153" s="122" t="s">
        <v>138</v>
      </c>
    </row>
    <row r="155" spans="1:5">
      <c r="A155" s="119" t="s">
        <v>34</v>
      </c>
      <c r="B155" s="120" t="str">
        <f>"1"</f>
        <v>1</v>
      </c>
      <c r="C155" s="121" t="s">
        <v>239</v>
      </c>
      <c r="D155" s="122" t="s">
        <v>133</v>
      </c>
      <c r="E155" s="36" t="s">
        <v>470</v>
      </c>
    </row>
    <row r="156" spans="1:5">
      <c r="A156" s="119" t="s">
        <v>34</v>
      </c>
      <c r="B156" s="120" t="str">
        <f>"2"</f>
        <v>2</v>
      </c>
      <c r="C156" s="121" t="s">
        <v>240</v>
      </c>
      <c r="D156" s="122" t="s">
        <v>134</v>
      </c>
    </row>
    <row r="157" spans="1:5">
      <c r="A157" s="119" t="s">
        <v>34</v>
      </c>
      <c r="B157" s="120" t="str">
        <f>"3"</f>
        <v>3</v>
      </c>
      <c r="C157" s="121" t="s">
        <v>397</v>
      </c>
      <c r="D157" s="122" t="s">
        <v>135</v>
      </c>
    </row>
    <row r="158" spans="1:5">
      <c r="A158" s="119" t="s">
        <v>34</v>
      </c>
      <c r="B158" s="120" t="str">
        <f>"4"</f>
        <v>4</v>
      </c>
      <c r="C158" s="121" t="s">
        <v>241</v>
      </c>
      <c r="D158" s="122" t="s">
        <v>136</v>
      </c>
    </row>
    <row r="159" spans="1:5">
      <c r="A159" s="119" t="s">
        <v>34</v>
      </c>
      <c r="B159" s="120" t="str">
        <f>"5"</f>
        <v>5</v>
      </c>
      <c r="C159" s="121" t="s">
        <v>1181</v>
      </c>
      <c r="D159" s="122" t="s">
        <v>137</v>
      </c>
    </row>
    <row r="160" spans="1:5">
      <c r="A160" s="119" t="s">
        <v>34</v>
      </c>
      <c r="B160" s="123" t="str">
        <f>"97"</f>
        <v>97</v>
      </c>
      <c r="C160" s="124" t="s">
        <v>1138</v>
      </c>
      <c r="D160" s="122" t="s">
        <v>138</v>
      </c>
    </row>
    <row r="162" spans="1:5">
      <c r="A162" s="119" t="s">
        <v>36</v>
      </c>
      <c r="B162" s="120" t="str">
        <f>"1"</f>
        <v>1</v>
      </c>
      <c r="C162" s="471" t="s">
        <v>1590</v>
      </c>
      <c r="D162" s="470" t="s">
        <v>1573</v>
      </c>
      <c r="E162" s="36" t="s">
        <v>470</v>
      </c>
    </row>
    <row r="163" spans="1:5">
      <c r="A163" s="119" t="s">
        <v>36</v>
      </c>
      <c r="B163" s="120" t="str">
        <f>"2"</f>
        <v>2</v>
      </c>
      <c r="C163" s="471" t="s">
        <v>1581</v>
      </c>
      <c r="D163" s="470" t="s">
        <v>139</v>
      </c>
    </row>
    <row r="164" spans="1:5">
      <c r="A164" s="119" t="s">
        <v>36</v>
      </c>
      <c r="B164" s="120" t="str">
        <f>"3"</f>
        <v>3</v>
      </c>
      <c r="C164" s="471" t="s">
        <v>1582</v>
      </c>
      <c r="D164" s="470" t="s">
        <v>1574</v>
      </c>
    </row>
    <row r="165" spans="1:5">
      <c r="A165" s="119" t="s">
        <v>36</v>
      </c>
      <c r="B165" s="120" t="str">
        <f>"4"</f>
        <v>4</v>
      </c>
      <c r="C165" s="471" t="s">
        <v>1583</v>
      </c>
      <c r="D165" s="470" t="s">
        <v>1575</v>
      </c>
    </row>
    <row r="166" spans="1:5">
      <c r="A166" s="119" t="s">
        <v>36</v>
      </c>
      <c r="B166" s="120" t="str">
        <f>"5"</f>
        <v>5</v>
      </c>
      <c r="C166" s="471" t="s">
        <v>1584</v>
      </c>
      <c r="D166" s="470" t="s">
        <v>1576</v>
      </c>
    </row>
    <row r="167" spans="1:5">
      <c r="A167" s="119" t="s">
        <v>36</v>
      </c>
      <c r="B167" s="120" t="str">
        <f>"6"</f>
        <v>6</v>
      </c>
      <c r="C167" s="471" t="s">
        <v>1585</v>
      </c>
      <c r="D167" s="470" t="s">
        <v>1577</v>
      </c>
    </row>
    <row r="168" spans="1:5">
      <c r="A168" s="119" t="s">
        <v>36</v>
      </c>
      <c r="B168" s="120" t="str">
        <f>"7"</f>
        <v>7</v>
      </c>
      <c r="C168" s="471" t="s">
        <v>1586</v>
      </c>
      <c r="D168" s="470" t="s">
        <v>1578</v>
      </c>
    </row>
    <row r="169" spans="1:5">
      <c r="A169" s="119" t="s">
        <v>36</v>
      </c>
      <c r="B169" s="120" t="str">
        <f>"8"</f>
        <v>8</v>
      </c>
      <c r="C169" s="471" t="s">
        <v>1587</v>
      </c>
      <c r="D169" s="470" t="s">
        <v>1579</v>
      </c>
    </row>
    <row r="170" spans="1:5">
      <c r="A170" s="119" t="s">
        <v>36</v>
      </c>
      <c r="B170" s="120" t="str">
        <f>"9"</f>
        <v>9</v>
      </c>
      <c r="C170" s="471" t="s">
        <v>1588</v>
      </c>
      <c r="D170" s="470" t="s">
        <v>1580</v>
      </c>
    </row>
    <row r="171" spans="1:5">
      <c r="A171" s="119" t="s">
        <v>36</v>
      </c>
      <c r="B171" s="123" t="str">
        <f>"97"</f>
        <v>97</v>
      </c>
      <c r="C171" s="124" t="s">
        <v>1138</v>
      </c>
      <c r="D171" s="122" t="s">
        <v>138</v>
      </c>
    </row>
    <row r="172" spans="1:5">
      <c r="A172" s="119" t="s">
        <v>36</v>
      </c>
      <c r="B172" s="119" t="str">
        <f>"98"</f>
        <v>98</v>
      </c>
      <c r="C172" s="121" t="s">
        <v>1589</v>
      </c>
      <c r="D172" s="470" t="s">
        <v>307</v>
      </c>
    </row>
    <row r="173" spans="1:5">
      <c r="A173" s="18"/>
      <c r="B173" s="18"/>
      <c r="C173" s="155"/>
      <c r="D173" s="21"/>
    </row>
    <row r="174" spans="1:5" s="64" customFormat="1">
      <c r="A174" s="392" t="s">
        <v>908</v>
      </c>
      <c r="B174" s="392" t="str">
        <f>"1"</f>
        <v>1</v>
      </c>
      <c r="C174" s="392" t="s">
        <v>1499</v>
      </c>
      <c r="D174" s="392" t="s">
        <v>918</v>
      </c>
      <c r="E174" s="293" t="s">
        <v>921</v>
      </c>
    </row>
    <row r="175" spans="1:5" s="64" customFormat="1">
      <c r="A175" s="392" t="s">
        <v>908</v>
      </c>
      <c r="B175" s="392" t="str">
        <f>"2"</f>
        <v>2</v>
      </c>
      <c r="C175" s="392" t="s">
        <v>1494</v>
      </c>
      <c r="D175" s="392" t="s">
        <v>919</v>
      </c>
      <c r="E175" s="293"/>
    </row>
    <row r="176" spans="1:5" s="64" customFormat="1">
      <c r="A176" s="392" t="s">
        <v>908</v>
      </c>
      <c r="B176" s="392" t="str">
        <f>"3"</f>
        <v>3</v>
      </c>
      <c r="C176" s="392" t="s">
        <v>1495</v>
      </c>
      <c r="D176" s="392" t="s">
        <v>920</v>
      </c>
      <c r="E176" s="293"/>
    </row>
    <row r="178" spans="1:5" s="65" customFormat="1" ht="12.75" customHeight="1">
      <c r="A178" s="393" t="s">
        <v>301</v>
      </c>
      <c r="B178" s="393" t="str">
        <f>"1"</f>
        <v>1</v>
      </c>
      <c r="C178" s="393" t="s">
        <v>962</v>
      </c>
      <c r="D178" s="393" t="s">
        <v>474</v>
      </c>
      <c r="E178" s="65" t="s">
        <v>689</v>
      </c>
    </row>
    <row r="179" spans="1:5" s="65" customFormat="1" ht="12.75" customHeight="1">
      <c r="A179" s="393" t="s">
        <v>301</v>
      </c>
      <c r="B179" s="393" t="str">
        <f>"2"</f>
        <v>2</v>
      </c>
      <c r="C179" s="393" t="s">
        <v>963</v>
      </c>
      <c r="D179" s="393" t="s">
        <v>475</v>
      </c>
    </row>
    <row r="180" spans="1:5" s="65" customFormat="1" ht="12.75" customHeight="1">
      <c r="A180" s="393" t="s">
        <v>301</v>
      </c>
      <c r="B180" s="393" t="str">
        <f>"3"</f>
        <v>3</v>
      </c>
      <c r="C180" s="393" t="s">
        <v>754</v>
      </c>
      <c r="D180" s="393" t="s">
        <v>302</v>
      </c>
    </row>
    <row r="181" spans="1:5" s="65" customFormat="1" ht="12.75" customHeight="1"/>
    <row r="182" spans="1:5" s="65" customFormat="1" ht="12.75" customHeight="1">
      <c r="A182" s="393" t="s">
        <v>303</v>
      </c>
      <c r="B182" s="393" t="str">
        <f>"1"</f>
        <v>1</v>
      </c>
      <c r="C182" s="393" t="s">
        <v>964</v>
      </c>
      <c r="D182" s="393" t="s">
        <v>304</v>
      </c>
      <c r="E182" s="65" t="s">
        <v>689</v>
      </c>
    </row>
    <row r="183" spans="1:5" s="65" customFormat="1" ht="12.75" customHeight="1">
      <c r="A183" s="393" t="s">
        <v>303</v>
      </c>
      <c r="B183" s="393" t="str">
        <f>"2"</f>
        <v>2</v>
      </c>
      <c r="C183" s="393" t="s">
        <v>965</v>
      </c>
      <c r="D183" s="393" t="s">
        <v>305</v>
      </c>
    </row>
    <row r="184" spans="1:5" s="65" customFormat="1" ht="12.75" customHeight="1">
      <c r="A184" s="393" t="s">
        <v>303</v>
      </c>
      <c r="B184" s="393" t="str">
        <f>"3"</f>
        <v>3</v>
      </c>
      <c r="C184" s="393" t="s">
        <v>966</v>
      </c>
      <c r="D184" s="393" t="s">
        <v>306</v>
      </c>
    </row>
    <row r="185" spans="1:5" s="65" customFormat="1" ht="12.75" customHeight="1">
      <c r="A185" s="61"/>
      <c r="B185" s="61"/>
      <c r="C185" s="61"/>
      <c r="D185" s="61"/>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workbookViewId="0">
      <pane ySplit="1" topLeftCell="A2" activePane="bottomLeft" state="frozen"/>
      <selection pane="bottomLeft" activeCell="B6" sqref="A4:B6"/>
    </sheetView>
  </sheetViews>
  <sheetFormatPr defaultColWidth="8.85546875" defaultRowHeight="15"/>
  <cols>
    <col min="6" max="6" width="21" bestFit="1" customWidth="1"/>
  </cols>
  <sheetData>
    <row r="1" spans="1:2">
      <c r="A1" s="5" t="s">
        <v>2</v>
      </c>
      <c r="B1" s="5" t="s">
        <v>4</v>
      </c>
    </row>
    <row r="2" spans="1:2" ht="47.25">
      <c r="A2" s="1" t="s">
        <v>414</v>
      </c>
      <c r="B2" s="276" t="s">
        <v>1500</v>
      </c>
    </row>
    <row r="3" spans="1:2" ht="47.25">
      <c r="A3" s="1" t="s">
        <v>414</v>
      </c>
      <c r="B3" s="276" t="s">
        <v>1501</v>
      </c>
    </row>
    <row r="4" spans="1:2">
      <c r="A4" s="285" t="s">
        <v>414</v>
      </c>
      <c r="B4" s="16" t="s">
        <v>1525</v>
      </c>
    </row>
    <row r="5" spans="1:2">
      <c r="A5" s="285" t="s">
        <v>414</v>
      </c>
      <c r="B5" s="16" t="s">
        <v>1526</v>
      </c>
    </row>
    <row r="6" spans="1:2">
      <c r="A6" s="285" t="s">
        <v>414</v>
      </c>
      <c r="B6" s="16" t="s">
        <v>1527</v>
      </c>
    </row>
    <row r="7" spans="1:2">
      <c r="A7" s="5"/>
      <c r="B7" s="5"/>
    </row>
    <row r="8" spans="1:2" s="1" customFormat="1">
      <c r="A8" s="1" t="s">
        <v>414</v>
      </c>
      <c r="B8" s="1" t="s">
        <v>352</v>
      </c>
    </row>
    <row r="9" spans="1:2">
      <c r="A9" t="s">
        <v>8</v>
      </c>
      <c r="B9" s="1" t="s">
        <v>350</v>
      </c>
    </row>
    <row r="10" spans="1:2">
      <c r="A10" t="s">
        <v>8</v>
      </c>
      <c r="B10" s="1" t="s">
        <v>348</v>
      </c>
    </row>
    <row r="11" spans="1:2">
      <c r="A11" t="s">
        <v>8</v>
      </c>
      <c r="B11" s="1" t="s">
        <v>349</v>
      </c>
    </row>
    <row r="12" spans="1:2">
      <c r="A12" t="s">
        <v>8</v>
      </c>
      <c r="B12" s="1" t="s">
        <v>1210</v>
      </c>
    </row>
    <row r="13" spans="1:2">
      <c r="A13" t="s">
        <v>8</v>
      </c>
      <c r="B13" s="1" t="s">
        <v>1211</v>
      </c>
    </row>
    <row r="14" spans="1:2">
      <c r="A14" t="s">
        <v>8</v>
      </c>
      <c r="B14" s="1" t="s">
        <v>1321</v>
      </c>
    </row>
    <row r="15" spans="1:2">
      <c r="A15" t="s">
        <v>8</v>
      </c>
      <c r="B15" s="1" t="s">
        <v>1322</v>
      </c>
    </row>
    <row r="16" spans="1:2">
      <c r="A16" t="s">
        <v>8</v>
      </c>
      <c r="B16" s="1" t="s">
        <v>1522</v>
      </c>
    </row>
    <row r="17" spans="1:2">
      <c r="A17" t="s">
        <v>8</v>
      </c>
      <c r="B17" s="1" t="s">
        <v>1523</v>
      </c>
    </row>
    <row r="18" spans="1:2">
      <c r="A18" t="s">
        <v>8</v>
      </c>
      <c r="B18" s="1" t="s">
        <v>187</v>
      </c>
    </row>
    <row r="19" spans="1:2">
      <c r="A19" t="s">
        <v>414</v>
      </c>
      <c r="B19" s="1" t="s">
        <v>195</v>
      </c>
    </row>
    <row r="20" spans="1:2">
      <c r="A20" t="s">
        <v>414</v>
      </c>
      <c r="B20" s="1" t="s">
        <v>196</v>
      </c>
    </row>
    <row r="21" spans="1:2">
      <c r="A21" t="s">
        <v>8</v>
      </c>
      <c r="B21" s="1" t="s">
        <v>197</v>
      </c>
    </row>
    <row r="22" spans="1:2">
      <c r="A22" t="s">
        <v>8</v>
      </c>
      <c r="B22" s="18" t="s">
        <v>189</v>
      </c>
    </row>
    <row r="23" spans="1:2">
      <c r="A23" t="s">
        <v>8</v>
      </c>
      <c r="B23" s="18" t="s">
        <v>190</v>
      </c>
    </row>
    <row r="24" spans="1:2">
      <c r="A24" t="s">
        <v>8</v>
      </c>
      <c r="B24" s="18" t="s">
        <v>191</v>
      </c>
    </row>
    <row r="25" spans="1:2">
      <c r="A25" t="s">
        <v>8</v>
      </c>
      <c r="B25" s="18" t="s">
        <v>192</v>
      </c>
    </row>
    <row r="26" spans="1:2">
      <c r="A26" t="s">
        <v>8</v>
      </c>
      <c r="B26" s="18" t="s">
        <v>193</v>
      </c>
    </row>
    <row r="27" spans="1:2">
      <c r="A27" t="s">
        <v>8</v>
      </c>
      <c r="B27" s="18" t="s">
        <v>194</v>
      </c>
    </row>
    <row r="28" spans="1:2">
      <c r="A28" t="s">
        <v>8</v>
      </c>
      <c r="B28" s="18" t="s">
        <v>1214</v>
      </c>
    </row>
    <row r="29" spans="1:2">
      <c r="A29" t="s">
        <v>8</v>
      </c>
      <c r="B29" s="18" t="s">
        <v>1215</v>
      </c>
    </row>
    <row r="30" spans="1:2">
      <c r="A30" t="s">
        <v>19</v>
      </c>
      <c r="B30" s="18" t="s">
        <v>1216</v>
      </c>
    </row>
    <row r="31" spans="1:2">
      <c r="A31" t="s">
        <v>8</v>
      </c>
      <c r="B31" s="18" t="s">
        <v>198</v>
      </c>
    </row>
    <row r="32" spans="1:2">
      <c r="A32" t="s">
        <v>19</v>
      </c>
      <c r="B32" s="18" t="s">
        <v>398</v>
      </c>
    </row>
    <row r="34" spans="1:2">
      <c r="A34" t="s">
        <v>19</v>
      </c>
      <c r="B34" t="s">
        <v>525</v>
      </c>
    </row>
    <row r="35" spans="1:2">
      <c r="A35" t="s">
        <v>8</v>
      </c>
      <c r="B35" s="174" t="s">
        <v>691</v>
      </c>
    </row>
    <row r="36" spans="1:2">
      <c r="A36" t="s">
        <v>8</v>
      </c>
      <c r="B36" s="174" t="s">
        <v>692</v>
      </c>
    </row>
    <row r="37" spans="1:2">
      <c r="A37" t="s">
        <v>8</v>
      </c>
      <c r="B37" s="174" t="s">
        <v>693</v>
      </c>
    </row>
    <row r="38" spans="1:2">
      <c r="A38" t="s">
        <v>8</v>
      </c>
      <c r="B38" s="174" t="s">
        <v>694</v>
      </c>
    </row>
    <row r="39" spans="1:2">
      <c r="A39" t="s">
        <v>8</v>
      </c>
      <c r="B39" s="174" t="s">
        <v>695</v>
      </c>
    </row>
    <row r="40" spans="1:2">
      <c r="A40" t="s">
        <v>8</v>
      </c>
      <c r="B40" s="174" t="s">
        <v>696</v>
      </c>
    </row>
    <row r="41" spans="1:2">
      <c r="A41" t="s">
        <v>8</v>
      </c>
      <c r="B41" s="174" t="s">
        <v>697</v>
      </c>
    </row>
    <row r="42" spans="1:2">
      <c r="A42" t="s">
        <v>8</v>
      </c>
      <c r="B42" s="174" t="s">
        <v>698</v>
      </c>
    </row>
    <row r="43" spans="1:2">
      <c r="A43" t="s">
        <v>8</v>
      </c>
      <c r="B43" s="174" t="s">
        <v>699</v>
      </c>
    </row>
    <row r="44" spans="1:2">
      <c r="A44" t="s">
        <v>8</v>
      </c>
      <c r="B44" s="174" t="s">
        <v>700</v>
      </c>
    </row>
    <row r="45" spans="1:2">
      <c r="A45" t="s">
        <v>8</v>
      </c>
      <c r="B45" s="174" t="s">
        <v>701</v>
      </c>
    </row>
    <row r="46" spans="1:2">
      <c r="A46" t="s">
        <v>8</v>
      </c>
      <c r="B46" s="174" t="s">
        <v>702</v>
      </c>
    </row>
    <row r="47" spans="1:2">
      <c r="A47" t="s">
        <v>8</v>
      </c>
      <c r="B47" s="174" t="s">
        <v>703</v>
      </c>
    </row>
    <row r="48" spans="1:2">
      <c r="A48" t="s">
        <v>8</v>
      </c>
      <c r="B48" s="174" t="s">
        <v>704</v>
      </c>
    </row>
    <row r="49" spans="1:2">
      <c r="A49" t="s">
        <v>8</v>
      </c>
      <c r="B49" s="174" t="s">
        <v>705</v>
      </c>
    </row>
    <row r="50" spans="1:2">
      <c r="A50" t="s">
        <v>8</v>
      </c>
      <c r="B50" s="174" t="s">
        <v>706</v>
      </c>
    </row>
    <row r="51" spans="1:2">
      <c r="A51" t="s">
        <v>8</v>
      </c>
      <c r="B51" s="174" t="s">
        <v>707</v>
      </c>
    </row>
    <row r="52" spans="1:2">
      <c r="A52" t="s">
        <v>8</v>
      </c>
      <c r="B52" s="174" t="s">
        <v>708</v>
      </c>
    </row>
    <row r="53" spans="1:2">
      <c r="A53" t="s">
        <v>8</v>
      </c>
      <c r="B53" s="174" t="s">
        <v>709</v>
      </c>
    </row>
    <row r="54" spans="1:2">
      <c r="A54" t="s">
        <v>8</v>
      </c>
      <c r="B54" s="174" t="s">
        <v>710</v>
      </c>
    </row>
    <row r="55" spans="1:2">
      <c r="A55" t="s">
        <v>8</v>
      </c>
      <c r="B55" s="174" t="s">
        <v>711</v>
      </c>
    </row>
    <row r="56" spans="1:2">
      <c r="A56" t="s">
        <v>8</v>
      </c>
      <c r="B56" s="174" t="s">
        <v>712</v>
      </c>
    </row>
    <row r="57" spans="1:2">
      <c r="A57" t="s">
        <v>8</v>
      </c>
      <c r="B57" s="174" t="s">
        <v>713</v>
      </c>
    </row>
    <row r="58" spans="1:2">
      <c r="A58" t="s">
        <v>8</v>
      </c>
      <c r="B58" s="174" t="s">
        <v>714</v>
      </c>
    </row>
    <row r="59" spans="1:2">
      <c r="A59" t="s">
        <v>8</v>
      </c>
      <c r="B59" s="174" t="s">
        <v>715</v>
      </c>
    </row>
    <row r="60" spans="1:2">
      <c r="A60" t="s">
        <v>8</v>
      </c>
      <c r="B60" s="174" t="s">
        <v>716</v>
      </c>
    </row>
    <row r="61" spans="1:2">
      <c r="A61" t="s">
        <v>8</v>
      </c>
      <c r="B61" s="174" t="s">
        <v>717</v>
      </c>
    </row>
    <row r="63" spans="1:2">
      <c r="A63" t="s">
        <v>8</v>
      </c>
      <c r="B63" t="s">
        <v>1366</v>
      </c>
    </row>
    <row r="64" spans="1:2">
      <c r="A64" t="s">
        <v>8</v>
      </c>
      <c r="B64" t="s">
        <v>1367</v>
      </c>
    </row>
    <row r="65" spans="1:2">
      <c r="A65" t="s">
        <v>8</v>
      </c>
      <c r="B65" t="s">
        <v>1368</v>
      </c>
    </row>
    <row r="66" spans="1:2">
      <c r="A66" t="s">
        <v>8</v>
      </c>
      <c r="B66" t="s">
        <v>1369</v>
      </c>
    </row>
    <row r="68" spans="1:2">
      <c r="A68" t="s">
        <v>19</v>
      </c>
      <c r="B68" t="s">
        <v>952</v>
      </c>
    </row>
    <row r="69" spans="1:2">
      <c r="A69" t="s">
        <v>19</v>
      </c>
      <c r="B69" t="s">
        <v>953</v>
      </c>
    </row>
    <row r="70" spans="1:2">
      <c r="A70" t="s">
        <v>19</v>
      </c>
      <c r="B70" t="s">
        <v>954</v>
      </c>
    </row>
    <row r="72" spans="1:2">
      <c r="A72" t="s">
        <v>19</v>
      </c>
      <c r="B72" t="s">
        <v>1567</v>
      </c>
    </row>
    <row r="73" spans="1:2">
      <c r="A73" t="s">
        <v>19</v>
      </c>
      <c r="B73" t="s">
        <v>1568</v>
      </c>
    </row>
    <row r="74" spans="1:2">
      <c r="A74" t="s">
        <v>19</v>
      </c>
      <c r="B74" t="s">
        <v>1569</v>
      </c>
    </row>
    <row r="76" spans="1:2">
      <c r="A76" t="s">
        <v>19</v>
      </c>
      <c r="B76" t="s">
        <v>1564</v>
      </c>
    </row>
    <row r="77" spans="1:2">
      <c r="A77" t="s">
        <v>19</v>
      </c>
      <c r="B77" t="s">
        <v>1565</v>
      </c>
    </row>
    <row r="78" spans="1:2">
      <c r="A78" t="s">
        <v>19</v>
      </c>
      <c r="B78" t="s">
        <v>1566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pane ySplit="1" topLeftCell="A2" activePane="bottomLeft" state="frozen"/>
      <selection pane="bottomLeft" activeCell="A6" sqref="A3:B6"/>
    </sheetView>
  </sheetViews>
  <sheetFormatPr defaultColWidth="27.85546875" defaultRowHeight="15"/>
  <sheetData>
    <row r="1" spans="1:3" s="5" customFormat="1">
      <c r="A1" s="2" t="s">
        <v>264</v>
      </c>
      <c r="B1" s="2" t="s">
        <v>2</v>
      </c>
      <c r="C1" s="2" t="s">
        <v>1337</v>
      </c>
    </row>
    <row r="2" spans="1:3" s="5" customFormat="1">
      <c r="A2" s="2" t="s">
        <v>1338</v>
      </c>
      <c r="B2" s="2" t="s">
        <v>414</v>
      </c>
      <c r="C2" s="2" t="s">
        <v>152</v>
      </c>
    </row>
    <row r="3" spans="1:3">
      <c r="A3" s="12" t="s">
        <v>376</v>
      </c>
      <c r="B3" s="12" t="s">
        <v>19</v>
      </c>
    </row>
    <row r="4" spans="1:3">
      <c r="A4" s="2" t="s">
        <v>1339</v>
      </c>
      <c r="B4" s="2" t="s">
        <v>19</v>
      </c>
    </row>
    <row r="5" spans="1:3">
      <c r="A5" s="2" t="s">
        <v>413</v>
      </c>
      <c r="B5" s="2" t="s">
        <v>414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workbookViewId="0">
      <selection activeCell="E5" sqref="A2:E5"/>
    </sheetView>
  </sheetViews>
  <sheetFormatPr defaultColWidth="10.85546875" defaultRowHeight="15.75"/>
  <cols>
    <col min="1" max="1" width="10.7109375" style="207" bestFit="1" customWidth="1"/>
    <col min="2" max="2" width="9" style="207" bestFit="1" customWidth="1"/>
    <col min="3" max="3" width="24" style="207" customWidth="1"/>
    <col min="4" max="4" width="8.28515625" style="207" bestFit="1" customWidth="1"/>
    <col min="5" max="5" width="8.42578125" style="207" bestFit="1" customWidth="1"/>
    <col min="6" max="16384" width="10.85546875" style="207"/>
  </cols>
  <sheetData>
    <row r="1" spans="1:5" ht="18">
      <c r="A1" s="206" t="s">
        <v>643</v>
      </c>
      <c r="B1" s="206" t="s">
        <v>644</v>
      </c>
      <c r="C1" s="206" t="s">
        <v>645</v>
      </c>
      <c r="D1" s="206" t="s">
        <v>2</v>
      </c>
      <c r="E1" s="206" t="s">
        <v>10</v>
      </c>
    </row>
    <row r="2" spans="1:5">
      <c r="A2" s="2" t="s">
        <v>646</v>
      </c>
      <c r="B2" s="2" t="s">
        <v>647</v>
      </c>
      <c r="C2" s="2" t="s">
        <v>1595</v>
      </c>
      <c r="D2" s="2" t="s">
        <v>414</v>
      </c>
      <c r="E2" s="2" t="s">
        <v>648</v>
      </c>
    </row>
    <row r="3" spans="1:5">
      <c r="A3" t="s">
        <v>646</v>
      </c>
      <c r="B3" t="s">
        <v>647</v>
      </c>
      <c r="C3" t="s">
        <v>1517</v>
      </c>
      <c r="D3" t="s">
        <v>1518</v>
      </c>
      <c r="E3" t="str">
        <f>"true"</f>
        <v>true</v>
      </c>
    </row>
    <row r="4" spans="1:5">
      <c r="A4" t="s">
        <v>646</v>
      </c>
      <c r="B4" t="s">
        <v>647</v>
      </c>
      <c r="C4" t="s">
        <v>1519</v>
      </c>
      <c r="D4" t="s">
        <v>1518</v>
      </c>
      <c r="E4" t="str">
        <f>"false"</f>
        <v>false</v>
      </c>
    </row>
  </sheetData>
  <pageMargins left="0.75" right="0.75" top="1" bottom="1" header="0.5" footer="0.5"/>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4"/>
  <sheetViews>
    <sheetView topLeftCell="K1" zoomScale="90" zoomScaleNormal="90" zoomScalePageLayoutView="125" workbookViewId="0">
      <pane ySplit="2" topLeftCell="A81" activePane="bottomLeft" state="frozen"/>
      <selection pane="bottomLeft" activeCell="V90" sqref="V90:X90"/>
    </sheetView>
  </sheetViews>
  <sheetFormatPr defaultColWidth="8.85546875" defaultRowHeight="15"/>
  <cols>
    <col min="1" max="1" width="13.42578125" style="40" customWidth="1"/>
    <col min="2" max="2" width="18.140625" style="85" customWidth="1"/>
    <col min="3" max="4" width="18.140625" style="48" customWidth="1"/>
    <col min="5" max="5" width="18.140625" style="407" customWidth="1"/>
    <col min="6" max="6" width="11.42578125" style="407" bestFit="1" customWidth="1"/>
    <col min="7" max="7" width="18.140625" style="70" customWidth="1"/>
    <col min="8" max="8" width="18.140625" style="48" customWidth="1"/>
    <col min="9" max="9" width="10.42578125" style="19" bestFit="1" customWidth="1"/>
    <col min="10" max="10" width="15" style="19" bestFit="1" customWidth="1"/>
    <col min="11" max="11" width="8.85546875" style="19" customWidth="1"/>
    <col min="12" max="12" width="15.42578125" style="22" customWidth="1"/>
    <col min="13" max="13" width="18.42578125" style="19" customWidth="1"/>
    <col min="14" max="14" width="13.42578125" style="19" bestFit="1" customWidth="1"/>
    <col min="15" max="15" width="31" style="48" customWidth="1"/>
    <col min="16" max="16" width="31" style="85" customWidth="1"/>
    <col min="17" max="18" width="20" style="31" customWidth="1"/>
    <col min="19" max="19" width="29" style="31" customWidth="1"/>
    <col min="20" max="20" width="22.85546875" style="19" customWidth="1"/>
    <col min="21" max="21" width="13.42578125" style="19" customWidth="1"/>
    <col min="22" max="22" width="11.42578125" style="19" customWidth="1"/>
    <col min="23" max="24" width="8.85546875" style="19" customWidth="1"/>
    <col min="25" max="25" width="25.140625" style="19" customWidth="1"/>
    <col min="26" max="16384" width="8.85546875" style="19"/>
  </cols>
  <sheetData>
    <row r="1" spans="1:27" s="332" customFormat="1" ht="30">
      <c r="A1" s="332" t="s">
        <v>5</v>
      </c>
      <c r="B1" s="332" t="s">
        <v>5</v>
      </c>
      <c r="C1" s="332" t="s">
        <v>5</v>
      </c>
      <c r="D1" s="332" t="s">
        <v>5</v>
      </c>
      <c r="E1" s="417" t="s">
        <v>5</v>
      </c>
      <c r="F1" s="417" t="s">
        <v>5</v>
      </c>
      <c r="G1" s="332" t="s">
        <v>5</v>
      </c>
      <c r="H1" s="332" t="s">
        <v>5</v>
      </c>
      <c r="I1" s="332" t="s">
        <v>5</v>
      </c>
      <c r="J1" s="334" t="s">
        <v>0</v>
      </c>
      <c r="K1" s="334" t="s">
        <v>1</v>
      </c>
      <c r="L1" s="332" t="s">
        <v>2</v>
      </c>
      <c r="M1" s="332" t="s">
        <v>3</v>
      </c>
      <c r="N1" s="332" t="s">
        <v>4</v>
      </c>
      <c r="O1" s="332" t="s">
        <v>1282</v>
      </c>
      <c r="P1" s="332" t="s">
        <v>1283</v>
      </c>
      <c r="Q1" s="62" t="s">
        <v>1286</v>
      </c>
      <c r="R1" s="62" t="s">
        <v>1287</v>
      </c>
      <c r="S1" s="94" t="s">
        <v>7</v>
      </c>
      <c r="T1" s="332" t="s">
        <v>47</v>
      </c>
      <c r="U1" s="332" t="s">
        <v>148</v>
      </c>
      <c r="V1" s="332" t="s">
        <v>25</v>
      </c>
      <c r="W1" s="52" t="s">
        <v>1288</v>
      </c>
      <c r="X1" s="52" t="s">
        <v>1289</v>
      </c>
      <c r="Y1" s="332" t="s">
        <v>6</v>
      </c>
      <c r="Z1" s="160" t="s">
        <v>374</v>
      </c>
      <c r="AA1" s="160" t="s">
        <v>375</v>
      </c>
    </row>
    <row r="2" spans="1:27" ht="45">
      <c r="A2" s="72" t="s">
        <v>353</v>
      </c>
      <c r="B2" s="95" t="s">
        <v>354</v>
      </c>
      <c r="C2" s="102" t="s">
        <v>1187</v>
      </c>
      <c r="D2" s="95" t="s">
        <v>358</v>
      </c>
      <c r="E2" s="411" t="s">
        <v>355</v>
      </c>
      <c r="F2" s="412" t="s">
        <v>1186</v>
      </c>
      <c r="G2" s="102" t="s">
        <v>357</v>
      </c>
      <c r="H2" s="74" t="s">
        <v>356</v>
      </c>
      <c r="I2" s="247" t="s">
        <v>426</v>
      </c>
      <c r="K2" s="16"/>
      <c r="L2" s="23"/>
      <c r="N2" s="16"/>
    </row>
    <row r="3" spans="1:27">
      <c r="A3" s="80" t="s">
        <v>364</v>
      </c>
      <c r="B3" s="104" t="s">
        <v>365</v>
      </c>
      <c r="C3" s="104" t="s">
        <v>364</v>
      </c>
      <c r="D3" s="104" t="s">
        <v>364</v>
      </c>
      <c r="E3" s="413" t="s">
        <v>365</v>
      </c>
      <c r="F3" s="414" t="s">
        <v>364</v>
      </c>
      <c r="G3" s="104" t="s">
        <v>364</v>
      </c>
      <c r="H3" s="331" t="s">
        <v>364</v>
      </c>
      <c r="I3" s="331" t="s">
        <v>364</v>
      </c>
      <c r="J3" s="16" t="s">
        <v>20</v>
      </c>
      <c r="K3" s="331"/>
      <c r="L3" s="331"/>
      <c r="M3" s="331"/>
      <c r="N3" s="331"/>
    </row>
    <row r="4" spans="1:27" s="382" customFormat="1" ht="26.25">
      <c r="A4" s="377"/>
      <c r="B4" s="378" t="s">
        <v>1296</v>
      </c>
      <c r="C4" s="378"/>
      <c r="D4" s="379"/>
      <c r="E4" s="419" t="s">
        <v>1297</v>
      </c>
      <c r="F4" s="418"/>
      <c r="G4" s="377"/>
      <c r="H4" s="381"/>
      <c r="I4" s="377"/>
      <c r="L4" s="382" t="s">
        <v>22</v>
      </c>
      <c r="O4" s="383" t="str">
        <f>E4</f>
        <v>1. إستمارة الأسرة</v>
      </c>
      <c r="P4" s="384" t="str">
        <f>B4</f>
        <v>1. Household questionnaire</v>
      </c>
      <c r="Q4" s="380"/>
      <c r="S4" s="395"/>
      <c r="T4" s="385"/>
      <c r="U4" s="385"/>
      <c r="V4" s="385"/>
      <c r="Y4" s="385"/>
    </row>
    <row r="5" spans="1:27" s="382" customFormat="1" ht="26.25">
      <c r="A5" s="377"/>
      <c r="B5" s="378" t="s">
        <v>1299</v>
      </c>
      <c r="C5" s="378"/>
      <c r="D5" s="379"/>
      <c r="E5" s="444" t="s">
        <v>1372</v>
      </c>
      <c r="F5" s="421"/>
      <c r="G5" s="377"/>
      <c r="H5" s="381"/>
      <c r="I5" s="377"/>
      <c r="L5" s="382" t="s">
        <v>22</v>
      </c>
      <c r="O5" s="383" t="str">
        <f>E5</f>
        <v>0.1 البيانات التعريفية لاستمارة الأسرة</v>
      </c>
      <c r="P5" s="384" t="str">
        <f>B5</f>
        <v>0.1 Statistical identification</v>
      </c>
      <c r="S5" s="379"/>
      <c r="T5" s="385"/>
      <c r="U5" s="385"/>
      <c r="V5" s="385"/>
      <c r="Y5" s="385"/>
    </row>
    <row r="6" spans="1:27" s="382" customFormat="1">
      <c r="A6" s="377"/>
      <c r="B6" s="378"/>
      <c r="C6" s="378"/>
      <c r="D6" s="379"/>
      <c r="E6" s="420"/>
      <c r="F6" s="421"/>
      <c r="G6" s="377"/>
      <c r="H6" s="381"/>
      <c r="I6" s="377"/>
      <c r="O6" s="383"/>
      <c r="P6" s="384"/>
      <c r="S6" s="379"/>
      <c r="T6" s="385"/>
      <c r="U6" s="385"/>
      <c r="V6" s="385"/>
      <c r="Y6" s="385"/>
    </row>
    <row r="7" spans="1:27">
      <c r="G7" s="48"/>
      <c r="I7" s="40">
        <v>10</v>
      </c>
      <c r="L7" s="22" t="s">
        <v>188</v>
      </c>
      <c r="N7" s="19" t="str">
        <f>CONCATENATE("q",I7)</f>
        <v>q10</v>
      </c>
      <c r="O7" s="48" t="s">
        <v>367</v>
      </c>
      <c r="P7" s="48" t="s">
        <v>367</v>
      </c>
      <c r="T7" s="19" t="str">
        <f t="shared" ref="T7:T13" si="0">CONCATENATE("data('",N7,"')")</f>
        <v>data('q10')</v>
      </c>
      <c r="Y7" s="16" t="b">
        <v>1</v>
      </c>
    </row>
    <row r="8" spans="1:27">
      <c r="A8" s="19"/>
      <c r="G8" s="48"/>
      <c r="I8" s="40">
        <f t="shared" ref="I8:I15" si="1">I7+1</f>
        <v>11</v>
      </c>
      <c r="L8" s="22" t="s">
        <v>188</v>
      </c>
      <c r="N8" s="19" t="str">
        <f t="shared" ref="N8" si="2">CONCATENATE("q",I8)</f>
        <v>q11</v>
      </c>
      <c r="T8" s="19" t="str">
        <f t="shared" si="0"/>
        <v>data('q11')</v>
      </c>
      <c r="Y8" s="16" t="b">
        <v>1</v>
      </c>
    </row>
    <row r="9" spans="1:27">
      <c r="A9" s="300"/>
      <c r="G9" s="48"/>
      <c r="I9" s="40">
        <f t="shared" si="1"/>
        <v>12</v>
      </c>
      <c r="L9" s="22" t="s">
        <v>188</v>
      </c>
      <c r="N9" s="19" t="str">
        <f t="shared" ref="N9" si="3">CONCATENATE("q",I9)</f>
        <v>q12</v>
      </c>
      <c r="T9" s="19" t="str">
        <f t="shared" si="0"/>
        <v>data('q12')</v>
      </c>
      <c r="Y9" s="16" t="b">
        <v>1</v>
      </c>
    </row>
    <row r="10" spans="1:27">
      <c r="G10" s="48"/>
      <c r="I10" s="40">
        <f t="shared" si="1"/>
        <v>13</v>
      </c>
      <c r="L10" s="22" t="s">
        <v>188</v>
      </c>
      <c r="N10" s="19" t="str">
        <f t="shared" ref="N10" si="4">CONCATENATE("q",I10)</f>
        <v>q13</v>
      </c>
      <c r="O10" s="48" t="s">
        <v>1209</v>
      </c>
      <c r="P10" s="48" t="s">
        <v>1209</v>
      </c>
      <c r="T10" s="19" t="str">
        <f t="shared" si="0"/>
        <v>data('q13')</v>
      </c>
      <c r="Y10" s="16" t="b">
        <v>1</v>
      </c>
    </row>
    <row r="11" spans="1:27">
      <c r="G11" s="48"/>
      <c r="I11" s="40">
        <f t="shared" si="1"/>
        <v>14</v>
      </c>
      <c r="L11" s="22" t="s">
        <v>188</v>
      </c>
      <c r="N11" s="19" t="str">
        <f t="shared" ref="N11:N13" si="5">CONCATENATE("q",I11)</f>
        <v>q14</v>
      </c>
      <c r="O11" s="48" t="s">
        <v>1212</v>
      </c>
      <c r="P11" s="48" t="s">
        <v>1212</v>
      </c>
      <c r="T11" s="19" t="str">
        <f t="shared" si="0"/>
        <v>data('q14')</v>
      </c>
      <c r="Y11" s="16" t="b">
        <v>1</v>
      </c>
    </row>
    <row r="12" spans="1:27">
      <c r="G12" s="48"/>
      <c r="I12" s="40">
        <f t="shared" si="1"/>
        <v>15</v>
      </c>
      <c r="L12" s="22" t="s">
        <v>188</v>
      </c>
      <c r="N12" s="19" t="str">
        <f t="shared" si="5"/>
        <v>q15</v>
      </c>
      <c r="O12" s="48" t="s">
        <v>1319</v>
      </c>
      <c r="P12" s="48" t="s">
        <v>1319</v>
      </c>
      <c r="T12" s="19" t="str">
        <f t="shared" si="0"/>
        <v>data('q15')</v>
      </c>
      <c r="Y12" s="16" t="b">
        <v>1</v>
      </c>
    </row>
    <row r="13" spans="1:27">
      <c r="G13" s="48"/>
      <c r="I13" s="40">
        <f t="shared" si="1"/>
        <v>16</v>
      </c>
      <c r="L13" s="22" t="s">
        <v>188</v>
      </c>
      <c r="N13" s="19" t="str">
        <f t="shared" si="5"/>
        <v>q16</v>
      </c>
      <c r="O13" s="48" t="s">
        <v>1320</v>
      </c>
      <c r="P13" s="48" t="s">
        <v>1320</v>
      </c>
      <c r="T13" s="19" t="str">
        <f t="shared" si="0"/>
        <v>data('q16')</v>
      </c>
      <c r="Y13" s="16" t="b">
        <v>1</v>
      </c>
    </row>
    <row r="14" spans="1:27">
      <c r="A14" s="406"/>
      <c r="B14" s="410"/>
      <c r="C14" s="407"/>
      <c r="D14" s="407"/>
      <c r="G14" s="407"/>
      <c r="H14" s="407"/>
      <c r="I14" s="406">
        <f t="shared" si="1"/>
        <v>17</v>
      </c>
      <c r="L14" s="405" t="s">
        <v>188</v>
      </c>
      <c r="N14" s="19" t="str">
        <f t="shared" ref="N14:N15" si="6">CONCATENATE("q",I14)</f>
        <v>q17</v>
      </c>
      <c r="O14" s="407" t="s">
        <v>1520</v>
      </c>
      <c r="P14" s="407" t="s">
        <v>1520</v>
      </c>
      <c r="T14" s="19" t="str">
        <f t="shared" ref="T14:T15" si="7">CONCATENATE("data('",N14,"')")</f>
        <v>data('q17')</v>
      </c>
      <c r="Y14" s="16" t="b">
        <v>1</v>
      </c>
    </row>
    <row r="15" spans="1:27">
      <c r="A15" s="406"/>
      <c r="B15" s="410"/>
      <c r="C15" s="407"/>
      <c r="D15" s="407"/>
      <c r="G15" s="407"/>
      <c r="H15" s="407"/>
      <c r="I15" s="406">
        <f t="shared" si="1"/>
        <v>18</v>
      </c>
      <c r="L15" s="405" t="s">
        <v>188</v>
      </c>
      <c r="N15" s="19" t="str">
        <f t="shared" si="6"/>
        <v>q18</v>
      </c>
      <c r="O15" s="407" t="s">
        <v>1521</v>
      </c>
      <c r="P15" s="407" t="s">
        <v>1521</v>
      </c>
      <c r="T15" s="19" t="str">
        <f t="shared" si="7"/>
        <v>data('q18')</v>
      </c>
      <c r="Y15" s="16" t="b">
        <v>1</v>
      </c>
    </row>
    <row r="16" spans="1:27">
      <c r="G16" s="48"/>
      <c r="I16" s="40"/>
      <c r="P16" s="48"/>
      <c r="Y16" s="16"/>
    </row>
    <row r="17" spans="1:25">
      <c r="A17" s="19"/>
      <c r="G17" s="48"/>
      <c r="H17" s="40"/>
      <c r="I17" s="40">
        <f>100</f>
        <v>100</v>
      </c>
      <c r="L17" s="22" t="s">
        <v>188</v>
      </c>
      <c r="N17" s="19" t="s">
        <v>187</v>
      </c>
      <c r="T17" s="19" t="str">
        <f>CONCATENATE("data('",N70,"')")</f>
        <v>data('q100')</v>
      </c>
      <c r="Y17" s="16" t="b">
        <v>1</v>
      </c>
    </row>
    <row r="19" spans="1:25">
      <c r="G19" s="48"/>
      <c r="H19" s="325"/>
      <c r="I19" s="40">
        <f>I17+1</f>
        <v>101</v>
      </c>
      <c r="J19" s="16"/>
      <c r="L19" s="22" t="s">
        <v>188</v>
      </c>
      <c r="N19" s="19" t="str">
        <f>CONCATENATE("q",I19)</f>
        <v>q101</v>
      </c>
      <c r="T19" s="19" t="str">
        <f t="shared" ref="T19:T31" si="8">CONCATENATE("data('",N19,"')")</f>
        <v>data('q101')</v>
      </c>
      <c r="Y19" s="16" t="b">
        <v>1</v>
      </c>
    </row>
    <row r="20" spans="1:25">
      <c r="G20" s="48"/>
      <c r="I20" s="40">
        <f t="shared" ref="I20:I27" si="9">I19+1</f>
        <v>102</v>
      </c>
      <c r="J20" s="16"/>
      <c r="L20" s="22" t="s">
        <v>188</v>
      </c>
      <c r="N20" s="19" t="str">
        <f>CONCATENATE("q",I20)</f>
        <v>q102</v>
      </c>
      <c r="T20" s="19" t="str">
        <f t="shared" si="8"/>
        <v>data('q102')</v>
      </c>
      <c r="Y20" s="16" t="b">
        <v>1</v>
      </c>
    </row>
    <row r="21" spans="1:25">
      <c r="G21" s="48"/>
      <c r="I21" s="40">
        <f t="shared" si="9"/>
        <v>103</v>
      </c>
      <c r="L21" s="22" t="s">
        <v>188</v>
      </c>
      <c r="M21" s="16"/>
      <c r="N21" s="19" t="str">
        <f t="shared" ref="N21" si="10">CONCATENATE("q",I21)</f>
        <v>q103</v>
      </c>
      <c r="T21" s="19" t="str">
        <f t="shared" si="8"/>
        <v>data('q103')</v>
      </c>
      <c r="Y21" s="16" t="b">
        <v>1</v>
      </c>
    </row>
    <row r="22" spans="1:25">
      <c r="A22" s="53"/>
      <c r="C22" s="78"/>
      <c r="D22" s="78"/>
      <c r="E22" s="409"/>
      <c r="F22" s="409"/>
      <c r="G22" s="48"/>
      <c r="I22" s="40">
        <f t="shared" si="9"/>
        <v>104</v>
      </c>
      <c r="L22" s="22" t="s">
        <v>188</v>
      </c>
      <c r="M22" s="16"/>
      <c r="N22" s="19" t="str">
        <f>CONCATENATE("q",I22)</f>
        <v>q104</v>
      </c>
      <c r="O22" s="78"/>
      <c r="T22" s="19" t="str">
        <f t="shared" si="8"/>
        <v>data('q104')</v>
      </c>
      <c r="Y22" s="16" t="b">
        <v>1</v>
      </c>
    </row>
    <row r="23" spans="1:25">
      <c r="G23" s="48"/>
      <c r="I23" s="40">
        <f t="shared" si="9"/>
        <v>105</v>
      </c>
      <c r="L23" s="22" t="s">
        <v>188</v>
      </c>
      <c r="M23" s="16"/>
      <c r="N23" s="19" t="str">
        <f>CONCATENATE("q",I23)</f>
        <v>q105</v>
      </c>
      <c r="T23" s="19" t="str">
        <f t="shared" si="8"/>
        <v>data('q105')</v>
      </c>
      <c r="Y23" s="16" t="b">
        <v>1</v>
      </c>
    </row>
    <row r="24" spans="1:25">
      <c r="G24" s="48"/>
      <c r="I24" s="40">
        <f t="shared" si="9"/>
        <v>106</v>
      </c>
      <c r="L24" s="22" t="s">
        <v>188</v>
      </c>
      <c r="M24" s="16"/>
      <c r="N24" s="19" t="str">
        <f>CONCATENATE("q",I24)</f>
        <v>q106</v>
      </c>
      <c r="T24" s="19" t="str">
        <f t="shared" si="8"/>
        <v>data('q106')</v>
      </c>
      <c r="Y24" s="16" t="b">
        <v>1</v>
      </c>
    </row>
    <row r="25" spans="1:25">
      <c r="G25" s="48"/>
      <c r="I25" s="40">
        <f t="shared" si="9"/>
        <v>107</v>
      </c>
      <c r="L25" s="22" t="s">
        <v>188</v>
      </c>
      <c r="M25" s="16"/>
      <c r="N25" s="19" t="str">
        <f>CONCATENATE("q",I25)</f>
        <v>q107</v>
      </c>
      <c r="T25" s="19" t="str">
        <f t="shared" si="8"/>
        <v>data('q107')</v>
      </c>
      <c r="Y25" s="16" t="b">
        <v>1</v>
      </c>
    </row>
    <row r="26" spans="1:25">
      <c r="G26" s="48"/>
      <c r="I26" s="40">
        <f t="shared" si="9"/>
        <v>108</v>
      </c>
      <c r="L26" s="22" t="s">
        <v>188</v>
      </c>
      <c r="M26" s="16"/>
      <c r="N26" s="19" t="str">
        <f>CONCATENATE("q",I26)</f>
        <v>q108</v>
      </c>
      <c r="T26" s="19" t="str">
        <f t="shared" si="8"/>
        <v>data('q108')</v>
      </c>
      <c r="Y26" s="16" t="b">
        <v>1</v>
      </c>
    </row>
    <row r="27" spans="1:25">
      <c r="G27" s="48"/>
      <c r="I27" s="40">
        <f t="shared" si="9"/>
        <v>109</v>
      </c>
      <c r="L27" s="22" t="s">
        <v>188</v>
      </c>
      <c r="M27" s="16"/>
      <c r="N27" s="19" t="str">
        <f t="shared" ref="N27" si="11">CONCATENATE("q",I27)</f>
        <v>q109</v>
      </c>
      <c r="T27" s="19" t="str">
        <f t="shared" si="8"/>
        <v>data('q109')</v>
      </c>
      <c r="Y27" s="16" t="b">
        <v>1</v>
      </c>
    </row>
    <row r="28" spans="1:25">
      <c r="G28" s="48"/>
      <c r="I28" s="40" t="str">
        <f>CONCATENATE(I27+1, "_1")</f>
        <v>110_1</v>
      </c>
      <c r="J28" s="16"/>
      <c r="L28" s="22" t="s">
        <v>188</v>
      </c>
      <c r="N28" s="19" t="str">
        <f t="shared" ref="N28" si="12">CONCATENATE("q",I28)</f>
        <v>q110_1</v>
      </c>
      <c r="T28" s="19" t="str">
        <f t="shared" si="8"/>
        <v>data('q110_1')</v>
      </c>
      <c r="Y28" s="16" t="b">
        <v>1</v>
      </c>
    </row>
    <row r="29" spans="1:25">
      <c r="G29" s="48"/>
      <c r="I29" s="40" t="str">
        <f>CONCATENATE(I$27+1, "_2")</f>
        <v>110_2</v>
      </c>
      <c r="L29" s="22" t="s">
        <v>188</v>
      </c>
      <c r="N29" s="19" t="str">
        <f t="shared" ref="N29" si="13">CONCATENATE("q",I29)</f>
        <v>q110_2</v>
      </c>
      <c r="T29" s="19" t="str">
        <f t="shared" si="8"/>
        <v>data('q110_2')</v>
      </c>
      <c r="Y29" s="16" t="b">
        <v>1</v>
      </c>
    </row>
    <row r="30" spans="1:25">
      <c r="G30" s="48"/>
      <c r="I30" s="40" t="str">
        <f>CONCATENATE(I$27+1, "_3")</f>
        <v>110_3</v>
      </c>
      <c r="L30" s="22" t="s">
        <v>188</v>
      </c>
      <c r="N30" s="19" t="str">
        <f t="shared" ref="N30" si="14">CONCATENATE("q",I30)</f>
        <v>q110_3</v>
      </c>
      <c r="T30" s="19" t="str">
        <f t="shared" si="8"/>
        <v>data('q110_3')</v>
      </c>
      <c r="Y30" s="16" t="b">
        <v>1</v>
      </c>
    </row>
    <row r="31" spans="1:25">
      <c r="G31" s="48"/>
      <c r="I31" s="40">
        <f>I27+2</f>
        <v>111</v>
      </c>
      <c r="L31" s="22" t="s">
        <v>188</v>
      </c>
      <c r="M31" s="16"/>
      <c r="N31" s="19" t="str">
        <f>CONCATENATE("q",I31)</f>
        <v>q111</v>
      </c>
      <c r="T31" s="19" t="str">
        <f t="shared" si="8"/>
        <v>data('q111')</v>
      </c>
      <c r="Y31" s="16" t="b">
        <v>1</v>
      </c>
    </row>
    <row r="32" spans="1:25">
      <c r="G32" s="48"/>
      <c r="H32" s="325"/>
      <c r="I32" s="40"/>
      <c r="J32" s="16"/>
      <c r="Y32" s="16"/>
    </row>
    <row r="33" spans="1:25">
      <c r="G33" s="48"/>
      <c r="H33" s="325"/>
      <c r="I33" s="40"/>
      <c r="J33" s="16"/>
      <c r="Y33" s="16"/>
    </row>
    <row r="34" spans="1:25">
      <c r="G34" s="48"/>
      <c r="I34" s="40"/>
      <c r="P34" s="48"/>
      <c r="Y34" s="16"/>
    </row>
    <row r="35" spans="1:25" s="382" customFormat="1">
      <c r="A35" s="377"/>
      <c r="B35" s="378"/>
      <c r="C35" s="378"/>
      <c r="D35" s="379"/>
      <c r="E35" s="420"/>
      <c r="F35" s="421"/>
      <c r="G35" s="377"/>
      <c r="H35" s="381"/>
      <c r="I35" s="377"/>
      <c r="O35" s="383"/>
      <c r="P35" s="384"/>
      <c r="S35" s="379"/>
      <c r="T35" s="385"/>
      <c r="U35" s="385"/>
      <c r="V35" s="385"/>
      <c r="Y35" s="385"/>
    </row>
    <row r="36" spans="1:25" ht="30">
      <c r="A36" s="19" t="str">
        <f>CONCATENATE("q",I36)</f>
        <v>q1</v>
      </c>
      <c r="B36" s="85" t="s">
        <v>308</v>
      </c>
      <c r="C36" s="48" t="str">
        <f>CONCATENATE("Hints: ", R36)</f>
        <v>Hints: First and Last Name</v>
      </c>
      <c r="E36" s="407" t="s">
        <v>1060</v>
      </c>
      <c r="F36" s="407" t="str">
        <f>CONCATENATE("Hints: ",Q36, )</f>
        <v>Hints: الاسم الثنائى</v>
      </c>
      <c r="G36" s="48"/>
      <c r="I36" s="40">
        <f>1</f>
        <v>1</v>
      </c>
      <c r="L36" s="22" t="s">
        <v>8</v>
      </c>
      <c r="N36" s="19" t="str">
        <f t="shared" ref="N36:N41" si="15">CONCATENATE("q",I36)</f>
        <v>q1</v>
      </c>
      <c r="O36" s="48" t="str">
        <f>CONCATENATE(I36,". ",E36)</f>
        <v>1. اسم الباحث</v>
      </c>
      <c r="P36" s="85" t="str">
        <f>CONCATENATE(I36, ". ",B36)</f>
        <v xml:space="preserve">1. Interviewer Name </v>
      </c>
      <c r="Q36" s="19" t="s">
        <v>1222</v>
      </c>
      <c r="R36" s="31" t="s">
        <v>149</v>
      </c>
      <c r="S36" s="31" t="b">
        <v>1</v>
      </c>
      <c r="W36" s="16"/>
      <c r="X36" s="16"/>
    </row>
    <row r="37" spans="1:25" ht="30">
      <c r="A37" s="19" t="str">
        <f>CONCATENATE("q",I37)</f>
        <v>q2</v>
      </c>
      <c r="B37" s="85" t="s">
        <v>309</v>
      </c>
      <c r="E37" s="407" t="s">
        <v>1061</v>
      </c>
      <c r="G37" s="48"/>
      <c r="I37" s="40">
        <f>I36+1</f>
        <v>2</v>
      </c>
      <c r="L37" s="22" t="s">
        <v>19</v>
      </c>
      <c r="N37" s="19" t="str">
        <f t="shared" si="15"/>
        <v>q2</v>
      </c>
      <c r="O37" s="48" t="str">
        <f>CONCATENATE(I37,". ",E37)</f>
        <v>2. رقم الباحث</v>
      </c>
      <c r="P37" s="85" t="str">
        <f>CONCATENATE(I37, ". ",B37)</f>
        <v>2. Interviewer Number</v>
      </c>
      <c r="Q37" s="19"/>
      <c r="S37" s="31" t="b">
        <v>1</v>
      </c>
      <c r="Y37" s="16" t="b">
        <v>1</v>
      </c>
    </row>
    <row r="38" spans="1:25">
      <c r="A38" s="19"/>
      <c r="B38" s="410"/>
      <c r="C38" s="407"/>
      <c r="D38" s="407"/>
      <c r="G38" s="407"/>
      <c r="H38" s="407"/>
      <c r="I38" s="406"/>
      <c r="J38" s="19" t="s">
        <v>21</v>
      </c>
      <c r="L38" s="405"/>
      <c r="O38" s="407"/>
      <c r="P38" s="410"/>
      <c r="Q38" s="19"/>
      <c r="Y38" s="16"/>
    </row>
    <row r="39" spans="1:25">
      <c r="A39" s="19"/>
      <c r="B39" s="410"/>
      <c r="C39" s="407"/>
      <c r="D39" s="407"/>
      <c r="G39" s="407"/>
      <c r="H39" s="407"/>
      <c r="I39" s="406"/>
      <c r="J39" s="19" t="s">
        <v>20</v>
      </c>
      <c r="L39" s="405"/>
      <c r="O39" s="407"/>
      <c r="P39" s="410"/>
      <c r="Q39" s="19"/>
      <c r="Y39" s="16"/>
    </row>
    <row r="40" spans="1:25" ht="30">
      <c r="A40" s="19" t="str">
        <f>CONCATENATE("q",I40)</f>
        <v>q3</v>
      </c>
      <c r="B40" s="85" t="s">
        <v>310</v>
      </c>
      <c r="C40" s="48" t="str">
        <f>CONCATENATE("Hints: ", R40)</f>
        <v>Hints: First and Last Name</v>
      </c>
      <c r="E40" s="407" t="s">
        <v>150</v>
      </c>
      <c r="F40" s="407" t="str">
        <f>CONCATENATE("Hints: ",Q40, )</f>
        <v>Hints: الاسم الثنائى</v>
      </c>
      <c r="G40" s="48"/>
      <c r="I40" s="40">
        <f>I37+1</f>
        <v>3</v>
      </c>
      <c r="L40" s="22" t="s">
        <v>8</v>
      </c>
      <c r="N40" s="19" t="str">
        <f t="shared" si="15"/>
        <v>q3</v>
      </c>
      <c r="O40" s="48" t="str">
        <f>CONCATENATE(I40,". ",E40)</f>
        <v xml:space="preserve">3. اسم المشرف </v>
      </c>
      <c r="P40" s="85" t="str">
        <f>CONCATENATE(I40, ". ",B40)</f>
        <v>3. Supervisor Name</v>
      </c>
      <c r="Q40" s="19" t="s">
        <v>1222</v>
      </c>
      <c r="R40" s="31" t="s">
        <v>149</v>
      </c>
      <c r="S40" s="31" t="b">
        <v>1</v>
      </c>
      <c r="Y40" s="19" t="b">
        <v>1</v>
      </c>
    </row>
    <row r="41" spans="1:25" ht="30">
      <c r="A41" s="19" t="str">
        <f>CONCATENATE("q",I41)</f>
        <v>q4</v>
      </c>
      <c r="B41" s="85" t="s">
        <v>311</v>
      </c>
      <c r="E41" s="407" t="s">
        <v>151</v>
      </c>
      <c r="G41" s="48"/>
      <c r="I41" s="40">
        <f>I40+1</f>
        <v>4</v>
      </c>
      <c r="L41" s="22" t="s">
        <v>19</v>
      </c>
      <c r="N41" s="19" t="str">
        <f t="shared" si="15"/>
        <v>q4</v>
      </c>
      <c r="O41" s="48" t="str">
        <f>CONCATENATE(I41,". ",E41)</f>
        <v xml:space="preserve">4. رقم المشرف </v>
      </c>
      <c r="P41" s="85" t="str">
        <f>CONCATENATE(I41, ". ",B41)</f>
        <v xml:space="preserve">4. Supervisor Number </v>
      </c>
      <c r="S41" s="31" t="b">
        <v>1</v>
      </c>
      <c r="Y41" s="16" t="b">
        <v>1</v>
      </c>
    </row>
    <row r="42" spans="1:25">
      <c r="G42" s="48"/>
      <c r="I42" s="40"/>
      <c r="Y42" s="16"/>
    </row>
    <row r="43" spans="1:25">
      <c r="G43" s="48"/>
      <c r="I43" s="40"/>
      <c r="L43" s="22" t="s">
        <v>188</v>
      </c>
      <c r="N43" s="19" t="str">
        <f>CONCATENATE(N70,"_",N36)</f>
        <v>q100_q1</v>
      </c>
      <c r="T43" s="19" t="str">
        <f>CONCATENATE("data('",N70,"') + '_' + data('",N13,"') + '_' + data('",N19,"').substring(0,2) + '_' + data('",N36,"') + '_' + data('",N20,"')")</f>
        <v>data('q100') + '_' + data('q16') + '_' + data('q101').substring(0,2) + '_' + data('q1') + '_' + data('q102')</v>
      </c>
      <c r="Y43" s="16" t="b">
        <v>1</v>
      </c>
    </row>
    <row r="44" spans="1:25">
      <c r="J44" s="19" t="s">
        <v>21</v>
      </c>
    </row>
    <row r="45" spans="1:25">
      <c r="G45" s="48"/>
      <c r="I45" s="40"/>
      <c r="J45" s="88" t="s">
        <v>23</v>
      </c>
      <c r="K45" s="19" t="str">
        <f>CONCATENATE("data('",N7,"')===",CHAR(34),"yes",CHAR(34))</f>
        <v>data('q10')==="yes"</v>
      </c>
    </row>
    <row r="46" spans="1:25">
      <c r="G46" s="48"/>
      <c r="I46" s="40"/>
      <c r="J46" s="16" t="s">
        <v>20</v>
      </c>
    </row>
    <row r="47" spans="1:25" ht="30">
      <c r="A47" s="19" t="str">
        <f>CONCATENATE("q",I7)</f>
        <v>q10</v>
      </c>
      <c r="B47" s="85" t="s">
        <v>351</v>
      </c>
      <c r="E47" s="415" t="s">
        <v>1062</v>
      </c>
      <c r="F47" s="415"/>
      <c r="G47" s="48"/>
      <c r="H47" s="48" t="s">
        <v>265</v>
      </c>
      <c r="I47" s="40"/>
      <c r="L47" s="22" t="s">
        <v>22</v>
      </c>
      <c r="O47" s="48" t="str">
        <f>CONCATENATE(I7,". ",E47)</f>
        <v>10. أسرة جديدة</v>
      </c>
      <c r="P47" s="85" t="str">
        <f>CONCATENATE(I7, ". ",B47)</f>
        <v>10. This is a refresher household</v>
      </c>
      <c r="Y47" s="16" t="b">
        <v>1</v>
      </c>
    </row>
    <row r="48" spans="1:25" ht="30">
      <c r="A48" s="19" t="str">
        <f>CONCATENATE("q",I8)</f>
        <v>q11</v>
      </c>
      <c r="B48" s="85" t="str">
        <f>CONCATENATE("Refresher cluster -- {{data.",N8, "}}")</f>
        <v>Refresher cluster -- {{data.q11}}</v>
      </c>
      <c r="E48" s="407" t="str">
        <f>CONCATENATE("قطعة مساحية جديدة  --{{data.",N8,"}} ", )</f>
        <v xml:space="preserve">قطعة مساحية جديدة  --{{data.q11}} </v>
      </c>
      <c r="G48" s="48"/>
      <c r="H48" s="48" t="s">
        <v>265</v>
      </c>
      <c r="I48" s="40"/>
      <c r="L48" s="22" t="s">
        <v>22</v>
      </c>
      <c r="O48" s="48" t="str">
        <f>CONCATENATE(I8,". ",E48)</f>
        <v xml:space="preserve">11. قطعة مساحية جديدة  --{{data.q11}} </v>
      </c>
      <c r="P48" s="85" t="str">
        <f>CONCATENATE(I8, ". ",B48)</f>
        <v>11. Refresher cluster -- {{data.q11}}</v>
      </c>
      <c r="Y48" s="16" t="b">
        <v>1</v>
      </c>
    </row>
    <row r="49" spans="1:25" ht="45">
      <c r="A49" s="19" t="str">
        <f>CONCATENATE("q",I9)</f>
        <v>q12</v>
      </c>
      <c r="B49" s="85" t="str">
        <f>CONCATENATE("Refresher number in cluster-- {{data.",N9, "}}")</f>
        <v>Refresher number in cluster-- {{data.q12}}</v>
      </c>
      <c r="E49" s="407" t="str">
        <f>CONCATENATE(" الرقم في القطعة المساحية الجديدة  --{{data.",N9,"}} ", )</f>
        <v xml:space="preserve"> الرقم في القطعة المساحية الجديدة  --{{data.q12}} </v>
      </c>
      <c r="G49" s="48"/>
      <c r="H49" s="48" t="s">
        <v>265</v>
      </c>
      <c r="I49" s="40"/>
      <c r="L49" s="22" t="s">
        <v>22</v>
      </c>
      <c r="O49" s="48" t="str">
        <f>CONCATENATE(I9,". ",E49)</f>
        <v xml:space="preserve">12.  الرقم في القطعة المساحية الجديدة  --{{data.q12}} </v>
      </c>
      <c r="P49" s="85" t="str">
        <f>CONCATENATE(I9, ". ",B49)</f>
        <v>12. Refresher number in cluster-- {{data.q12}}</v>
      </c>
      <c r="Y49" s="16" t="b">
        <v>1</v>
      </c>
    </row>
    <row r="50" spans="1:25">
      <c r="G50" s="48"/>
      <c r="I50" s="40"/>
      <c r="J50" s="19" t="s">
        <v>21</v>
      </c>
    </row>
    <row r="51" spans="1:25">
      <c r="G51" s="48"/>
      <c r="I51" s="40"/>
      <c r="J51" s="88" t="s">
        <v>24</v>
      </c>
    </row>
    <row r="52" spans="1:25">
      <c r="G52" s="48"/>
      <c r="J52" s="88" t="s">
        <v>23</v>
      </c>
      <c r="K52" s="19" t="str">
        <f>CONCATENATE("data('",N10,"')===",CHAR(34),"yes",CHAR(34))</f>
        <v>data('q13')==="yes"</v>
      </c>
    </row>
    <row r="53" spans="1:25">
      <c r="G53" s="48"/>
      <c r="J53" s="22" t="s">
        <v>20</v>
      </c>
    </row>
    <row r="54" spans="1:25" ht="30">
      <c r="A54" s="19" t="str">
        <f>CONCATENATE("q",I10)</f>
        <v>q13</v>
      </c>
      <c r="B54" s="85" t="s">
        <v>1213</v>
      </c>
      <c r="E54" s="415" t="s">
        <v>1536</v>
      </c>
      <c r="F54" s="415"/>
      <c r="G54" s="48"/>
      <c r="H54" s="48" t="s">
        <v>265</v>
      </c>
      <c r="I54" s="40"/>
      <c r="L54" s="22" t="s">
        <v>22</v>
      </c>
      <c r="O54" s="48" t="str">
        <f>CONCATENATE(I10,". ",E54)</f>
        <v>13. أسرة منشقة</v>
      </c>
      <c r="P54" s="85" t="str">
        <f>CONCATENATE(I10, ". ",B54)</f>
        <v>13. This is a split household</v>
      </c>
      <c r="Y54" s="16" t="b">
        <v>1</v>
      </c>
    </row>
    <row r="55" spans="1:25" ht="30">
      <c r="A55" s="19" t="str">
        <f>CONCATENATE("q",I11)</f>
        <v>q14</v>
      </c>
      <c r="B55" s="85" t="str">
        <f>CONCATENATE("Household No. in 2012 -- {{data.",N11,"}}")</f>
        <v>Household No. in 2012 -- {{data.q14}}</v>
      </c>
      <c r="E55" s="407" t="s">
        <v>1331</v>
      </c>
      <c r="G55" s="48"/>
      <c r="H55" s="48" t="s">
        <v>265</v>
      </c>
      <c r="I55" s="40"/>
      <c r="L55" s="22" t="s">
        <v>22</v>
      </c>
      <c r="O55" s="48" t="str">
        <f>CONCATENATE(I11,". ",E55)</f>
        <v>14. الرقم التعريفي للأسرة في 2012--{{data.q14}}</v>
      </c>
      <c r="P55" s="85" t="str">
        <f>CONCATENATE(I11, ". ",B55)</f>
        <v>14. Household No. in 2012 -- {{data.q14}}</v>
      </c>
      <c r="Y55" s="16" t="b">
        <v>1</v>
      </c>
    </row>
    <row r="56" spans="1:25">
      <c r="E56" s="404"/>
      <c r="G56" s="48"/>
      <c r="I56" s="40"/>
      <c r="J56" s="22" t="s">
        <v>21</v>
      </c>
    </row>
    <row r="57" spans="1:25">
      <c r="E57" s="404"/>
      <c r="G57" s="48"/>
      <c r="I57" s="40"/>
      <c r="J57" s="88" t="s">
        <v>24</v>
      </c>
    </row>
    <row r="58" spans="1:25">
      <c r="E58" s="404"/>
      <c r="G58" s="48"/>
      <c r="I58" s="40"/>
      <c r="J58" s="88" t="s">
        <v>23</v>
      </c>
      <c r="K58" s="19" t="str">
        <f>CONCATENATE("data('",N12,"')===",CHAR(34),"yes",CHAR(34))</f>
        <v>data('q15')==="yes"</v>
      </c>
    </row>
    <row r="59" spans="1:25" ht="60">
      <c r="A59" s="19" t="str">
        <f>CONCATENATE("q",I12)</f>
        <v>q15</v>
      </c>
      <c r="B59" s="85" t="s">
        <v>1323</v>
      </c>
      <c r="E59" s="410" t="s">
        <v>1332</v>
      </c>
      <c r="G59" s="48"/>
      <c r="H59" s="48" t="s">
        <v>265</v>
      </c>
      <c r="I59" s="40"/>
      <c r="J59" s="88"/>
      <c r="L59" s="22" t="s">
        <v>22</v>
      </c>
      <c r="O59" s="48" t="str">
        <f>CONCATENATE(I12,". ",E59)</f>
        <v>15. هذه الأسرة منقولة من فريق آخر</v>
      </c>
      <c r="P59" s="85" t="str">
        <f>CONCATENATE(I12, ". ",B59)</f>
        <v>15. This is a household transferred from another team</v>
      </c>
      <c r="Y59" s="16" t="b">
        <v>1</v>
      </c>
    </row>
    <row r="60" spans="1:25">
      <c r="E60" s="404"/>
      <c r="G60" s="48"/>
      <c r="I60" s="40"/>
      <c r="J60" s="88" t="s">
        <v>24</v>
      </c>
    </row>
    <row r="61" spans="1:25" ht="30">
      <c r="A61" s="19" t="str">
        <f>CONCATENATE("q",I13)</f>
        <v>q16</v>
      </c>
      <c r="B61" s="85" t="str">
        <f>CONCATENATE("Batch number -- {{data.",N13,"}}")</f>
        <v>Batch number -- {{data.q16}}</v>
      </c>
      <c r="E61" s="407" t="s">
        <v>1333</v>
      </c>
      <c r="G61" s="48"/>
      <c r="H61" s="48" t="s">
        <v>265</v>
      </c>
      <c r="I61" s="40"/>
      <c r="J61" s="88"/>
      <c r="L61" s="22" t="s">
        <v>22</v>
      </c>
      <c r="O61" s="48" t="str">
        <f>CONCATENATE(I13,". ",E61)</f>
        <v>16. رقم الدفعة--{{data.q16}}</v>
      </c>
      <c r="P61" s="85" t="str">
        <f>CONCATENATE(I13, ". ",B61)</f>
        <v>16. Batch number -- {{data.q16}}</v>
      </c>
    </row>
    <row r="62" spans="1:25">
      <c r="A62" s="19"/>
      <c r="B62" s="410"/>
      <c r="C62" s="407"/>
      <c r="D62" s="407"/>
      <c r="G62" s="407"/>
      <c r="H62" s="407"/>
      <c r="I62" s="406"/>
      <c r="J62" s="88"/>
      <c r="L62" s="405"/>
      <c r="O62" s="407"/>
      <c r="P62" s="410"/>
    </row>
    <row r="63" spans="1:25">
      <c r="A63" s="406"/>
      <c r="B63" s="410"/>
      <c r="C63" s="407"/>
      <c r="D63" s="407"/>
      <c r="E63" s="404"/>
      <c r="G63" s="407"/>
      <c r="H63" s="407"/>
      <c r="I63" s="406"/>
      <c r="J63" s="88" t="s">
        <v>23</v>
      </c>
      <c r="K63" s="19" t="str">
        <f>CONCATENATE("data('",N14,"')===",CHAR(34),"yes",CHAR(34))</f>
        <v>data('q17')==="yes"</v>
      </c>
      <c r="L63" s="405"/>
      <c r="O63" s="407"/>
      <c r="P63" s="410"/>
    </row>
    <row r="64" spans="1:25">
      <c r="A64" s="406"/>
      <c r="B64" s="410"/>
      <c r="C64" s="407"/>
      <c r="D64" s="407"/>
      <c r="E64" s="404"/>
      <c r="G64" s="407"/>
      <c r="H64" s="407"/>
      <c r="I64" s="406"/>
      <c r="J64" s="405" t="s">
        <v>20</v>
      </c>
      <c r="L64" s="405"/>
      <c r="O64" s="407"/>
      <c r="P64" s="410"/>
    </row>
    <row r="65" spans="1:25" ht="30">
      <c r="A65" s="19" t="str">
        <f>CONCATENATE("q",I14)</f>
        <v>q17</v>
      </c>
      <c r="B65" s="410" t="s">
        <v>1524</v>
      </c>
      <c r="C65" s="407"/>
      <c r="D65" s="407"/>
      <c r="E65" s="402" t="s">
        <v>1537</v>
      </c>
      <c r="G65" s="407"/>
      <c r="H65" s="407" t="s">
        <v>265</v>
      </c>
      <c r="I65" s="406"/>
      <c r="J65" s="88" t="s">
        <v>471</v>
      </c>
      <c r="L65" s="405" t="s">
        <v>22</v>
      </c>
      <c r="O65" s="407" t="str">
        <f>CONCATENATE(I14,". ",E65)</f>
        <v>17. هذه الأسرة خاصة بفريق مراقبة الجودة</v>
      </c>
      <c r="P65" s="410" t="str">
        <f>CONCATENATE(I14, ". ",B65)</f>
        <v>17. This is a quality control household</v>
      </c>
      <c r="Y65" s="16" t="b">
        <v>1</v>
      </c>
    </row>
    <row r="66" spans="1:25" ht="30">
      <c r="A66" s="19" t="str">
        <f>CONCATENATE("q",I15)</f>
        <v>q18</v>
      </c>
      <c r="B66" s="410" t="str">
        <f>CONCATENATE("Sections to review -- {{data.",N15,"}}")</f>
        <v>Sections to review -- {{data.q18}}</v>
      </c>
      <c r="C66" s="407"/>
      <c r="D66" s="407"/>
      <c r="E66" s="407" t="str">
        <f>CONCATENATE("الأقسام المطلوب مراجعتها:--","{{data.",N15,"}}")</f>
        <v>الأقسام المطلوب مراجعتها:--{{data.q18}}</v>
      </c>
      <c r="G66" s="407"/>
      <c r="H66" s="407" t="s">
        <v>265</v>
      </c>
      <c r="I66" s="406"/>
      <c r="J66" s="88"/>
      <c r="L66" s="405" t="s">
        <v>22</v>
      </c>
      <c r="O66" s="407" t="str">
        <f>CONCATENATE(I15,". ",E66)</f>
        <v>18. الأقسام المطلوب مراجعتها:--{{data.q18}}</v>
      </c>
      <c r="P66" s="410" t="str">
        <f>CONCATENATE(I15, ". ",B66)</f>
        <v>18. Sections to review -- {{data.q18}}</v>
      </c>
    </row>
    <row r="67" spans="1:25">
      <c r="J67" s="405" t="s">
        <v>21</v>
      </c>
    </row>
    <row r="68" spans="1:25">
      <c r="A68" s="406"/>
      <c r="B68" s="410"/>
      <c r="C68" s="407"/>
      <c r="D68" s="407"/>
      <c r="H68" s="407"/>
      <c r="J68" s="88" t="s">
        <v>24</v>
      </c>
      <c r="L68" s="405"/>
      <c r="O68" s="407"/>
      <c r="P68" s="410"/>
    </row>
    <row r="69" spans="1:25">
      <c r="A69" s="406"/>
      <c r="B69" s="410"/>
      <c r="C69" s="407"/>
      <c r="D69" s="407"/>
      <c r="H69" s="407"/>
      <c r="J69" s="405" t="s">
        <v>20</v>
      </c>
      <c r="L69" s="405"/>
      <c r="O69" s="407"/>
      <c r="P69" s="410"/>
    </row>
    <row r="70" spans="1:25" ht="30">
      <c r="A70" s="19" t="str">
        <f>CONCATENATE("q",I17)</f>
        <v>q100</v>
      </c>
      <c r="B70" s="85" t="str">
        <f>CONCATENATE("Household No. -- {{data.",N17,"}}")</f>
        <v>Household No. -- {{data.q100}}</v>
      </c>
      <c r="E70" s="407" t="str">
        <f>CONCATENATE("الرقم التعريفي للأسرة ","--{{data.",N17,"}}")</f>
        <v>الرقم التعريفي للأسرة --{{data.q100}}</v>
      </c>
      <c r="G70" s="48"/>
      <c r="H70" s="325" t="s">
        <v>265</v>
      </c>
      <c r="I70" s="40"/>
      <c r="L70" s="22" t="s">
        <v>22</v>
      </c>
      <c r="N70" s="19" t="str">
        <f>CONCATENATE("q",I17)</f>
        <v>q100</v>
      </c>
      <c r="O70" s="48" t="str">
        <f>CONCATENATE(I17,". ",E70)</f>
        <v>100. الرقم التعريفي للأسرة --{{data.q100}}</v>
      </c>
      <c r="P70" s="85" t="str">
        <f>CONCATENATE(I17, ". ",B70)</f>
        <v>100. Household No. -- {{data.q100}}</v>
      </c>
      <c r="Y70" s="16"/>
    </row>
    <row r="71" spans="1:25" ht="30">
      <c r="A71" s="19" t="str">
        <f t="shared" ref="A71:A79" si="16">CONCATENATE("q",I19)</f>
        <v>q101</v>
      </c>
      <c r="B71" s="85" t="str">
        <f>CONCATENATE("Governorate -- {{data.",N19,"}}")</f>
        <v>Governorate -- {{data.q101}}</v>
      </c>
      <c r="E71" s="407" t="str">
        <f>CONCATENATE("المحافظة --{{data.",N19,"}}")</f>
        <v>المحافظة --{{data.q101}}</v>
      </c>
      <c r="G71" s="48"/>
      <c r="H71" s="325" t="s">
        <v>265</v>
      </c>
      <c r="I71" s="40"/>
      <c r="J71" s="16"/>
      <c r="L71" s="22" t="s">
        <v>22</v>
      </c>
      <c r="O71" s="48" t="str">
        <f t="shared" ref="O71:O79" si="17">CONCATENATE(I19,". ",E71)</f>
        <v>101. المحافظة --{{data.q101}}</v>
      </c>
      <c r="P71" s="85" t="str">
        <f t="shared" ref="P71:P79" si="18">CONCATENATE(I19, ". ",B71)</f>
        <v>101. Governorate -- {{data.q101}}</v>
      </c>
      <c r="Y71" s="16" t="b">
        <v>1</v>
      </c>
    </row>
    <row r="72" spans="1:25" ht="30">
      <c r="A72" s="19" t="str">
        <f t="shared" si="16"/>
        <v>q102</v>
      </c>
      <c r="B72" s="85" t="str">
        <f>CONCATENATE("City/Kism/Markaz -- {{data.",N20,"}}")</f>
        <v>City/Kism/Markaz -- {{data.q102}}</v>
      </c>
      <c r="E72" s="407" t="str">
        <f>CONCATENATE("قسم/مركز--{{data.",N20,"}} ")</f>
        <v xml:space="preserve">قسم/مركز--{{data.q102}} </v>
      </c>
      <c r="G72" s="48"/>
      <c r="H72" s="325" t="s">
        <v>265</v>
      </c>
      <c r="I72" s="40"/>
      <c r="J72" s="16"/>
      <c r="L72" s="22" t="s">
        <v>22</v>
      </c>
      <c r="O72" s="48" t="str">
        <f t="shared" si="17"/>
        <v xml:space="preserve">102. قسم/مركز--{{data.q102}} </v>
      </c>
      <c r="P72" s="85" t="str">
        <f t="shared" si="18"/>
        <v>102. City/Kism/Markaz -- {{data.q102}}</v>
      </c>
      <c r="Y72" s="16" t="b">
        <v>1</v>
      </c>
    </row>
    <row r="73" spans="1:25" ht="30">
      <c r="A73" s="19" t="str">
        <f t="shared" si="16"/>
        <v>q103</v>
      </c>
      <c r="B73" s="85" t="str">
        <f>CONCATENATE("Shyakha/Village -- {{data.",N21,"}}")</f>
        <v>Shyakha/Village -- {{data.q103}}</v>
      </c>
      <c r="C73" s="78"/>
      <c r="D73" s="78"/>
      <c r="E73" s="409" t="str">
        <f>CONCATENATE("شياخة \ قرية","--{{data.",N21,"}} ")</f>
        <v xml:space="preserve">شياخة \ قرية--{{data.q103}} </v>
      </c>
      <c r="F73" s="409"/>
      <c r="G73" s="48"/>
      <c r="H73" s="325" t="s">
        <v>265</v>
      </c>
      <c r="I73" s="40"/>
      <c r="L73" s="22" t="s">
        <v>22</v>
      </c>
      <c r="M73" s="16"/>
      <c r="O73" s="48" t="str">
        <f t="shared" si="17"/>
        <v xml:space="preserve">103. شياخة \ قرية--{{data.q103}} </v>
      </c>
      <c r="P73" s="85" t="str">
        <f t="shared" si="18"/>
        <v>103. Shyakha/Village -- {{data.q103}}</v>
      </c>
      <c r="Y73" s="16" t="b">
        <v>1</v>
      </c>
    </row>
    <row r="74" spans="1:25" ht="30">
      <c r="A74" s="19" t="str">
        <f t="shared" si="16"/>
        <v>q104</v>
      </c>
      <c r="B74" s="85" t="str">
        <f>CONCATENATE("Street name -- {{data.",N22,"}}")</f>
        <v>Street name -- {{data.q104}}</v>
      </c>
      <c r="E74" s="407" t="str">
        <f>CONCATENATE("اسم الشارع--{{data.",N22,"}}")</f>
        <v>اسم الشارع--{{data.q104}}</v>
      </c>
      <c r="G74" s="48"/>
      <c r="H74" s="325" t="s">
        <v>265</v>
      </c>
      <c r="I74" s="40"/>
      <c r="L74" s="22" t="s">
        <v>22</v>
      </c>
      <c r="M74" s="16"/>
      <c r="O74" s="48" t="str">
        <f t="shared" si="17"/>
        <v>104. اسم الشارع--{{data.q104}}</v>
      </c>
      <c r="P74" s="85" t="str">
        <f t="shared" si="18"/>
        <v>104. Street name -- {{data.q104}}</v>
      </c>
      <c r="Y74" s="16" t="b">
        <v>1</v>
      </c>
    </row>
    <row r="75" spans="1:25" ht="30">
      <c r="A75" s="19" t="str">
        <f t="shared" si="16"/>
        <v>q105</v>
      </c>
      <c r="B75" s="85" t="str">
        <f>CONCATENATE("Road number -- {{data.",N23,"}}")</f>
        <v>Road number -- {{data.q105}}</v>
      </c>
      <c r="E75" s="407" t="str">
        <f>CONCATENATE("رقم الشارع--{{data.",N23,"}}")</f>
        <v>رقم الشارع--{{data.q105}}</v>
      </c>
      <c r="G75" s="48"/>
      <c r="H75" s="325" t="s">
        <v>265</v>
      </c>
      <c r="I75" s="40"/>
      <c r="L75" s="22" t="s">
        <v>22</v>
      </c>
      <c r="M75" s="16"/>
      <c r="O75" s="48" t="str">
        <f t="shared" si="17"/>
        <v>105. رقم الشارع--{{data.q105}}</v>
      </c>
      <c r="P75" s="85" t="str">
        <f t="shared" si="18"/>
        <v>105. Road number -- {{data.q105}}</v>
      </c>
      <c r="Y75" s="16" t="b">
        <v>1</v>
      </c>
    </row>
    <row r="76" spans="1:25" ht="45">
      <c r="A76" s="19" t="str">
        <f t="shared" si="16"/>
        <v>q106</v>
      </c>
      <c r="B76" s="85" t="str">
        <f>CONCATENATE("Name of owner or house number -- {{data.",N24,"}}")</f>
        <v>Name of owner or house number -- {{data.q106}}</v>
      </c>
      <c r="E76" s="407" t="str">
        <f>CONCATENATE(" {{data.",N24,"}} --اسم المالك أو رقم البيت")</f>
        <v> {{data.q106}} --اسم المالك أو رقم البيت</v>
      </c>
      <c r="G76" s="48"/>
      <c r="H76" s="325" t="s">
        <v>265</v>
      </c>
      <c r="I76" s="40"/>
      <c r="L76" s="22" t="s">
        <v>22</v>
      </c>
      <c r="M76" s="16"/>
      <c r="O76" s="48" t="str">
        <f t="shared" si="17"/>
        <v>106.  {{data.q106}} --اسم المالك أو رقم البيت</v>
      </c>
      <c r="P76" s="85" t="str">
        <f t="shared" si="18"/>
        <v>106. Name of owner or house number -- {{data.q106}}</v>
      </c>
      <c r="Y76" s="16" t="b">
        <v>1</v>
      </c>
    </row>
    <row r="77" spans="1:25" ht="60">
      <c r="A77" s="19" t="str">
        <f t="shared" si="16"/>
        <v>q107</v>
      </c>
      <c r="B77" s="85" t="str">
        <f>CONCATENATE("Dwelling type and position within the building --  {{data.",N25,"}}")</f>
        <v>Dwelling type and position within the building --  {{data.q107}}</v>
      </c>
      <c r="E77" s="407" t="str">
        <f>CONCATENATE("نوع المسكن وموقعه في المبنى--{{data.",N25,"}} ")</f>
        <v xml:space="preserve">نوع المسكن وموقعه في المبنى--{{data.q107}} </v>
      </c>
      <c r="G77" s="48"/>
      <c r="H77" s="325" t="s">
        <v>265</v>
      </c>
      <c r="I77" s="40"/>
      <c r="L77" s="22" t="s">
        <v>22</v>
      </c>
      <c r="M77" s="16"/>
      <c r="O77" s="48" t="str">
        <f t="shared" si="17"/>
        <v xml:space="preserve">107. نوع المسكن وموقعه في المبنى--{{data.q107}} </v>
      </c>
      <c r="P77" s="85" t="str">
        <f t="shared" si="18"/>
        <v>107. Dwelling type and position within the building --  {{data.q107}}</v>
      </c>
      <c r="Y77" s="16" t="b">
        <v>1</v>
      </c>
    </row>
    <row r="78" spans="1:25" ht="45">
      <c r="A78" s="19" t="str">
        <f t="shared" si="16"/>
        <v>q108</v>
      </c>
      <c r="B78" s="85" t="str">
        <f>CONCATENATE("Telephone number -- {{data.",N26,"}}")</f>
        <v>Telephone number -- {{data.q108}}</v>
      </c>
      <c r="E78" s="407" t="str">
        <f>CONCATENATE("رقم التليفون--{{data.",N26,"}} ")</f>
        <v xml:space="preserve">رقم التليفون--{{data.q108}} </v>
      </c>
      <c r="G78" s="48"/>
      <c r="H78" s="325" t="s">
        <v>265</v>
      </c>
      <c r="I78" s="40"/>
      <c r="L78" s="22" t="s">
        <v>22</v>
      </c>
      <c r="M78" s="16"/>
      <c r="O78" s="48" t="str">
        <f t="shared" si="17"/>
        <v xml:space="preserve">108. رقم التليفون--{{data.q108}} </v>
      </c>
      <c r="P78" s="85" t="str">
        <f t="shared" si="18"/>
        <v>108. Telephone number -- {{data.q108}}</v>
      </c>
      <c r="Y78" s="16" t="b">
        <v>1</v>
      </c>
    </row>
    <row r="79" spans="1:25" ht="45">
      <c r="A79" s="19" t="str">
        <f t="shared" si="16"/>
        <v>q109</v>
      </c>
      <c r="B79" s="85" t="str">
        <f>CONCATENATE("Other notes to locate  -- {{data.",N27,"}}")</f>
        <v>Other notes to locate  -- {{data.q109}}</v>
      </c>
      <c r="E79" s="407" t="str">
        <f>CONCATENATE("معلومات أخرى --{{data.",N27,"}} ")</f>
        <v xml:space="preserve">معلومات أخرى --{{data.q109}} </v>
      </c>
      <c r="G79" s="48"/>
      <c r="H79" s="325" t="s">
        <v>265</v>
      </c>
      <c r="I79" s="40"/>
      <c r="L79" s="22" t="s">
        <v>22</v>
      </c>
      <c r="M79" s="16"/>
      <c r="O79" s="48" t="str">
        <f t="shared" si="17"/>
        <v xml:space="preserve">109. معلومات أخرى --{{data.q109}} </v>
      </c>
      <c r="P79" s="85" t="str">
        <f t="shared" si="18"/>
        <v>109. Other notes to locate  -- {{data.q109}}</v>
      </c>
      <c r="Y79" s="16" t="b">
        <v>1</v>
      </c>
    </row>
    <row r="80" spans="1:25">
      <c r="J80" s="88" t="s">
        <v>23</v>
      </c>
      <c r="K80" s="19" t="str">
        <f>CONCATENATE("data('",N7,"')===",CHAR(34),"no",CHAR(34))</f>
        <v>data('q10')==="no"</v>
      </c>
    </row>
    <row r="81" spans="1:34" ht="45">
      <c r="A81" s="19" t="str">
        <f>CONCATENATE("q",I28)</f>
        <v>q110_1</v>
      </c>
      <c r="B81" s="85" t="str">
        <f>CONCATENATE("No. of Males in 2012  -- {{data.",N28,"}}")</f>
        <v>No. of Males in 2012  -- {{data.q110_1}}</v>
      </c>
      <c r="E81" s="407" t="str">
        <f>CONCATENATE("عدد الذكور في 2012--{{data.",N28,"}} ")</f>
        <v xml:space="preserve">عدد الذكور في 2012--{{data.q110_1}} </v>
      </c>
      <c r="G81" s="48"/>
      <c r="H81" s="325" t="s">
        <v>265</v>
      </c>
      <c r="L81" s="22" t="s">
        <v>22</v>
      </c>
      <c r="M81" s="16"/>
      <c r="O81" s="48" t="str">
        <f>CONCATENATE(I28,". ",E81)</f>
        <v xml:space="preserve">110_1. عدد الذكور في 2012--{{data.q110_1}} </v>
      </c>
      <c r="P81" s="85" t="str">
        <f>CONCATENATE(I28, ". ",B81)</f>
        <v>110_1. No. of Males in 2012  -- {{data.q110_1}}</v>
      </c>
      <c r="Y81" s="16" t="b">
        <v>1</v>
      </c>
    </row>
    <row r="82" spans="1:34" ht="45">
      <c r="A82" s="19" t="str">
        <f>CONCATENATE("q",I29)</f>
        <v>q110_2</v>
      </c>
      <c r="B82" s="85" t="str">
        <f>CONCATENATE("No. of Females in 2012  -- {{data.",N29,"}}")</f>
        <v>No. of Females in 2012  -- {{data.q110_2}}</v>
      </c>
      <c r="E82" s="407" t="str">
        <f>CONCATENATE("عدد الإناث في2012--{{data.",N29,"}}")</f>
        <v>عدد الإناث في2012--{{data.q110_2}}</v>
      </c>
      <c r="G82" s="48"/>
      <c r="H82" s="325" t="s">
        <v>265</v>
      </c>
      <c r="I82" s="40"/>
      <c r="L82" s="22" t="s">
        <v>22</v>
      </c>
      <c r="M82" s="16"/>
      <c r="O82" s="48" t="str">
        <f>CONCATENATE(I29,". ",E82)</f>
        <v>110_2. عدد الإناث في2012--{{data.q110_2}}</v>
      </c>
      <c r="P82" s="85" t="str">
        <f>CONCATENATE(I29, ". ",B82)</f>
        <v>110_2. No. of Females in 2012  -- {{data.q110_2}}</v>
      </c>
      <c r="Y82" s="16" t="b">
        <v>1</v>
      </c>
    </row>
    <row r="83" spans="1:34" ht="45">
      <c r="A83" s="19" t="str">
        <f>CONCATENATE("q",I30)</f>
        <v>q110_3</v>
      </c>
      <c r="B83" s="85" t="str">
        <f>CONCATENATE("Total No of Individuals in 2012  -- {{data.",N30,"}}")</f>
        <v>Total No of Individuals in 2012  -- {{data.q110_3}}</v>
      </c>
      <c r="E83" s="407" t="str">
        <f>CONCATENATE("مجموع عدد الأفراد في2012--{{data.",N30,"}}")</f>
        <v>مجموع عدد الأفراد في2012--{{data.q110_3}}</v>
      </c>
      <c r="G83" s="48"/>
      <c r="H83" s="325" t="s">
        <v>265</v>
      </c>
      <c r="I83" s="40"/>
      <c r="L83" s="22" t="s">
        <v>22</v>
      </c>
      <c r="M83" s="16"/>
      <c r="O83" s="48" t="str">
        <f>CONCATENATE(I30,". ",E83)</f>
        <v>110_3. مجموع عدد الأفراد في2012--{{data.q110_3}}</v>
      </c>
      <c r="P83" s="85" t="str">
        <f>CONCATENATE(I30, ". ",B83)</f>
        <v>110_3. Total No of Individuals in 2012  -- {{data.q110_3}}</v>
      </c>
      <c r="Y83" s="16" t="b">
        <v>1</v>
      </c>
    </row>
    <row r="84" spans="1:34" ht="45">
      <c r="A84" s="19" t="str">
        <f>CONCATENATE("q",I31)</f>
        <v>q111</v>
      </c>
      <c r="B84" s="85" t="str">
        <f>CONCATENATE("Member names from 2012  -- {{data.",N31,"}}")</f>
        <v>Member names from 2012  -- {{data.q111}}</v>
      </c>
      <c r="E84" s="407" t="str">
        <f>CONCATENATE("اسماء الأفراد من 2012 --{{data.",N31,"}}")</f>
        <v>اسماء الأفراد من 2012 --{{data.q111}}</v>
      </c>
      <c r="G84" s="48"/>
      <c r="H84" s="325" t="s">
        <v>265</v>
      </c>
      <c r="L84" s="22" t="s">
        <v>22</v>
      </c>
      <c r="M84" s="16"/>
      <c r="O84" s="48" t="str">
        <f>CONCATENATE(I31,". ",E84)</f>
        <v>111. اسماء الأفراد من 2012 --{{data.q111}}</v>
      </c>
      <c r="P84" s="85" t="str">
        <f>CONCATENATE(I31, ". ",B84)</f>
        <v>111. Member names from 2012  -- {{data.q111}}</v>
      </c>
      <c r="Y84" s="16" t="b">
        <v>1</v>
      </c>
    </row>
    <row r="85" spans="1:34">
      <c r="A85" s="19"/>
      <c r="B85" s="410"/>
      <c r="C85" s="407"/>
      <c r="D85" s="407"/>
      <c r="G85" s="407"/>
      <c r="H85" s="325"/>
      <c r="J85" s="88" t="s">
        <v>24</v>
      </c>
      <c r="L85" s="405"/>
      <c r="M85" s="16"/>
      <c r="O85" s="407"/>
      <c r="P85" s="410"/>
      <c r="Y85" s="16"/>
    </row>
    <row r="86" spans="1:34">
      <c r="G86" s="48"/>
      <c r="I86" s="40"/>
      <c r="J86" s="19" t="s">
        <v>21</v>
      </c>
      <c r="N86" s="16"/>
    </row>
    <row r="87" spans="1:34">
      <c r="A87" s="406"/>
      <c r="B87" s="410"/>
      <c r="C87" s="407"/>
      <c r="D87" s="407"/>
      <c r="G87" s="407"/>
      <c r="H87" s="407"/>
      <c r="I87" s="406"/>
      <c r="J87" s="19" t="s">
        <v>20</v>
      </c>
      <c r="L87" s="405"/>
      <c r="N87" s="16"/>
      <c r="O87" s="407"/>
      <c r="P87" s="410"/>
    </row>
    <row r="88" spans="1:34">
      <c r="A88" s="406"/>
      <c r="B88" s="410"/>
      <c r="C88" s="407"/>
      <c r="D88" s="407"/>
      <c r="G88" s="407"/>
      <c r="H88" s="407"/>
      <c r="I88" s="406"/>
      <c r="L88" s="405" t="s">
        <v>188</v>
      </c>
      <c r="N88" s="16" t="s">
        <v>1525</v>
      </c>
      <c r="O88" s="407"/>
      <c r="P88" s="410"/>
      <c r="T88" s="19" t="s">
        <v>1528</v>
      </c>
      <c r="Y88" s="19" t="b">
        <v>1</v>
      </c>
    </row>
    <row r="89" spans="1:34" ht="30">
      <c r="A89" s="406"/>
      <c r="B89" s="410" t="str">
        <f>CONCATENATE("Today: {{data.",N88,"}}")</f>
        <v>Today: {{data.today_first}}</v>
      </c>
      <c r="C89" s="407"/>
      <c r="D89" s="407"/>
      <c r="E89" s="407" t="str">
        <f>CONCATENATE(" اليوم"," {{data.",N88,"}}")</f>
        <v xml:space="preserve"> اليوم {{data.today_first}}</v>
      </c>
      <c r="G89" s="407"/>
      <c r="H89" s="407"/>
      <c r="I89" s="406"/>
      <c r="L89" s="405" t="s">
        <v>22</v>
      </c>
      <c r="N89" s="16"/>
      <c r="O89" s="407" t="str">
        <f>E89</f>
        <v xml:space="preserve"> اليوم {{data.today_first}}</v>
      </c>
      <c r="P89" s="410" t="str">
        <f>B89</f>
        <v>Today: {{data.today_first}}</v>
      </c>
      <c r="Y89" s="19" t="b">
        <v>1</v>
      </c>
    </row>
    <row r="90" spans="1:34" ht="60">
      <c r="A90" s="19" t="str">
        <f>CONCATENATE("q",I90)</f>
        <v>q112</v>
      </c>
      <c r="B90" s="410" t="s">
        <v>312</v>
      </c>
      <c r="C90" s="407" t="str">
        <f>CONCATENATE("Constraints: ", X90,)</f>
        <v>Constraints: Date must be today or earlier</v>
      </c>
      <c r="D90" s="31"/>
      <c r="E90" s="407" t="s">
        <v>1063</v>
      </c>
      <c r="F90" s="407" t="str">
        <f>CONCATENATE("Constraints: ", W90,)</f>
        <v>Constraints: يجب أن يكون تاريخ اليوم أو يسبقه</v>
      </c>
      <c r="G90" s="407"/>
      <c r="H90" s="407"/>
      <c r="I90" s="406">
        <f>I31+1</f>
        <v>112</v>
      </c>
      <c r="K90" s="16"/>
      <c r="L90" s="285" t="s">
        <v>1338</v>
      </c>
      <c r="N90" s="19" t="str">
        <f>CONCATENATE("q",I90)</f>
        <v>q112</v>
      </c>
      <c r="O90" s="407" t="str">
        <f>CONCATENATE(I90,". ",E90)</f>
        <v>112. تاريخ الزيارة الأولى</v>
      </c>
      <c r="P90" s="410" t="str">
        <f>CONCATENATE(I90, ". ",B90)</f>
        <v>112. First visit date</v>
      </c>
      <c r="S90" s="87" t="b">
        <v>1</v>
      </c>
      <c r="V90" s="19" t="str">
        <f>CONCATENATE("data('",N90, "') &lt;= now()")</f>
        <v>data('q112') &lt;= now()</v>
      </c>
      <c r="W90" s="467" t="s">
        <v>1538</v>
      </c>
      <c r="X90" s="19" t="s">
        <v>1340</v>
      </c>
    </row>
    <row r="91" spans="1:34">
      <c r="A91" s="19"/>
      <c r="B91" s="410"/>
      <c r="C91" s="407"/>
      <c r="D91" s="31"/>
      <c r="G91" s="407"/>
      <c r="H91" s="407"/>
      <c r="I91" s="406"/>
      <c r="J91" s="19" t="s">
        <v>21</v>
      </c>
      <c r="K91" s="16"/>
      <c r="L91" s="285"/>
      <c r="O91" s="407"/>
      <c r="P91" s="410"/>
      <c r="S91" s="87"/>
    </row>
    <row r="92" spans="1:34" ht="234.95" customHeight="1">
      <c r="A92" s="19" t="str">
        <f>CONCATENATE("q",I92)</f>
        <v>q113</v>
      </c>
      <c r="B92" s="85" t="s">
        <v>313</v>
      </c>
      <c r="C92" s="31"/>
      <c r="D92" s="31" t="str">
        <f>CONCATENATE(INDEX(choices!D:D,MATCH(M92,choices!A:A,0)),"
",IF(M92=INDEX(choices!A:A,MATCH(M92,choices!A:A,0)+1),INDEX(choices!D:D,MATCH(M92,choices!A:A,0)+1),""),IF(M92=INDEX(choices!A:A,MATCH(M92,choices!A:A,0)+1), "
",""),IF(M92=INDEX(choices!A:A,MATCH(M92,choices!A:A,0)+2),INDEX(choices!D:D,MATCH(M92,choices!A:A,0)+2),""),IF(M92=INDEX(choices!A:A,MATCH(M92,choices!A:A,0)+2), "
",""),IF(M92=INDEX(choices!A:A,MATCH(M92,choices!A:A,0)+3),INDEX(choices!D:D,MATCH(M92,choices!A:A,0)+3),""),IF(M92=INDEX(choices!A:A,MATCH(M92,choices!A:A,0)+3), "
",""),IF(M92=INDEX(choices!A:A,MATCH(M92,choices!A:A,0)+4),INDEX(choices!D:D,MATCH(M92,choices!A:A,0)+4),""),IF(M92=INDEX(choices!A:A,MATCH(M92,choices!A:A,0)+4), "
",""),IF(M92=INDEX(choices!A:A,MATCH(M92,choices!A:A,0)+5),INDEX(choices!D:D,MATCH(M92,choices!A:A,0)+5),""),IF(M92=INDEX(choices!A:A,MATCH(M92,choices!A:A,0)+5), "
",""),IF(M92=INDEX(choices!A:A,MATCH(M92,choices!A:A,0)+6),INDEX(choices!D:D,MATCH(M92,choices!A:A,0)+6),""),IF(M92=INDEX(choices!A:A,MATCH(M92,choices!A:A,0)+6), "
",""),IF(M92=INDEX(choices!A:A,MATCH(M92,choices!A:A,0)+7),INDEX(choices!D:D,MATCH(M92,choices!A:A,0)+7),""),IF(M92=INDEX(choices!A:A,MATCH(M92,choices!A:A,0)+7), "
",""),IF(M92=INDEX(choices!A:A,MATCH(M92,choices!A:A,0)+8),INDEX(choices!D:D,MATCH(M92,choices!A:A,0)+8),""),IF(M92=INDEX(choices!A:A,MATCH(M92,choices!A:A,0)+8), "
",""),IF(M92=INDEX(choices!A:A,MATCH(M92,choices!A:A,0)+9),INDEX(choices!D:D,MATCH(M92,choices!A:A,0)+9),""),IF(M92=INDEX(choices!A:A,MATCH(M92,choices!A:A,0)+9), "
",""),IF(M92=INDEX(choices!A:A,MATCH(M92,choices!A:A,0)+10),INDEX(choices!D:D,MATCH(M92,choices!A:A,0)+10),""),IF(M92=INDEX(choices!A:A,MATCH(M92,choices!A:A,0)+10), "
",""),IF(M92=INDEX(choices!A:A,MATCH(M92,choices!A:A,0)+11),INDEX(choices!D:D,MATCH(M92,choices!A:A,0)+11),""),IF(M92=INDEX(choices!A:A,MATCH(M92,choices!A:A,0)+11), "
",""),IF(M92=INDEX(choices!A:A,MATCH(M92,choices!A:A,0)+12),INDEX(choices!D:D,MATCH(M92,choices!A:A,0)+12),""),IF(M92=INDEX(choices!A:A,MATCH(M92,choices!A:A,0)+12), "
",""),IF(M92=INDEX(choices!A:A,MATCH(M92,choices!A:A,0)+13),INDEX(choices!D:D,MATCH(M92,choices!A:A,0)+13),""),IF(M92=INDEX(choices!A:A,MATCH(M92,choices!A:A,0)+13), "
",""),IF(M92=INDEX(choices!A:A,MATCH(M92,choices!A:A,0)+14),INDEX(choices!D:D,MATCH(M92,choices!A:A,0)+14),""),IF(M92=INDEX(choices!A:A,MATCH(M92,choices!A:A,0)+14), "
",""),IF(M92=INDEX(choices!A:A,MATCH(M92,choices!A:A,0)+15),INDEX(choices!D:D,MATCH(M92,choices!A:A,0)+15),""),IF(M92=INDEX(choices!A:A,MATCH(M92,choices!A:A,0)+15), "
",""),IF(M92=INDEX(choices!A:A,MATCH(M92,choices!A:A,0)+16),INDEX(choices!D:D,MATCH(M92,choices!A:A,0)+16),""),IF(M92=INDEX(choices!A:A,MATCH(M92,choices!A:A,0)+16), "
",""),IF(M92=INDEX(choices!A:A,MATCH(M92,choices!A:A,0)+17),INDEX(choices!D:D,MATCH(M92,choices!A:A,0)+17),""),IF(M92=INDEX(choices!A:A,MATCH(M92,choices!A:A,0)+17), "
",""),IF(M92=INDEX(choices!A:A,MATCH(M92,choices!A:A,0)+18),INDEX(choices!D:D,MATCH(M92,choices!A:A,0)+18),""),IF(M92=INDEX(choices!A:A,MATCH(M92,choices!A:A,0)+18), "
",""),IF(M92=INDEX(choices!A:A,MATCH(M92,choices!A:A,0)+19),INDEX(choices!D:D,MATCH(M92,choices!A:A,0)+19),""),IF(M92=INDEX(choices!A:A,MATCH(M92,choices!A:A,0)+19), "
",""),IF(M92=INDEX(choices!A:A,MATCH(M92,choices!A:A,0)+20),INDEX(choices!D:D,MATCH(M92,choices!A:A,0)+20),""),IF(M92=INDEX(choices!A:A,MATCH(M92,choices!A:A,0)+20), "
",""))</f>
        <v xml:space="preserve">1. Household present
2. HH not found
3. Refused to respond
4. Moved in entirety to a known location in same team's area
5. Moved in entirety to a known location in different team's area
6. Moved in entirety to unknown location
7. Entire household left the country
8. Entire household died
9. Temporarily away
</v>
      </c>
      <c r="E92" s="407" t="s">
        <v>1064</v>
      </c>
      <c r="G92" s="48" t="str">
        <f>CONCATENATE(INDEX(choices!C:C,MATCH(M92,choices!A:A,0)),"
",IF(M92=INDEX(choices!A:A,MATCH(M92,choices!A:A,0)+1),INDEX(choices!C:C,MATCH(M92,choices!A:A,0)+1),""),IF(M92=INDEX(choices!A:A,MATCH(M92,choices!A:A,0)+1), "
",""),IF(M92=INDEX(choices!A:A,MATCH(M92,choices!A:A,0)+2),INDEX(choices!C:C,MATCH(M92,choices!A:A,0)+2),""),IF(M92=INDEX(choices!A:A,MATCH(M92,choices!A:A,0)+2), "
",""),IF(M92=INDEX(choices!A:A,MATCH(M92,choices!A:A,0)+3),INDEX(choices!C:C,MATCH(M92,choices!A:A,0)+3),""),IF(M92=INDEX(choices!A:A,MATCH(M92,choices!A:A,0)+3), "
",""),IF(M92=INDEX(choices!A:A,MATCH(M92,choices!A:A,0)+4),INDEX(choices!C:C,MATCH(M92,choices!A:A,0)+4),""),IF(M92=INDEX(choices!A:A,MATCH(M92,choices!A:A,0)+4), "
",""),IF(M92=INDEX(choices!A:A,MATCH(M92,choices!A:A,0)+5),INDEX(choices!C:C,MATCH(M92,choices!A:A,0)+5),""),IF(M92=INDEX(choices!A:A,MATCH(M92,choices!A:A,0)+5), "
",""),IF(M92=INDEX(choices!A:A,MATCH(M92,choices!A:A,0)+6),INDEX(choices!C:C,MATCH(M92,choices!A:A,0)+6),""),IF(M92=INDEX(choices!A:A,MATCH(M92,choices!A:A,0)+6), "
",""),IF(M92=INDEX(choices!A:A,MATCH(M92,choices!A:A,0)+7),INDEX(choices!C:C,MATCH(M92,choices!A:A,0)+7),""),IF(M92=INDEX(choices!A:A,MATCH(M92,choices!A:A,0)+7), "
",""),IF(M92=INDEX(choices!A:A,MATCH(M92,choices!A:A,0)+8),INDEX(choices!C:C,MATCH(M92,choices!A:A,0)+8),""),IF(M92=INDEX(choices!A:A,MATCH(M92,choices!A:A,0)+8), "
",""),IF(M92=INDEX(choices!A:A,MATCH(M92,choices!A:A,0)+9),INDEX(choices!C:C,MATCH(M92,choices!A:A,0)+9),""),IF(M92=INDEX(choices!A:A,MATCH(M92,choices!A:A,0)+9), "
",""),IF(M92=INDEX(choices!A:A,MATCH(M92,choices!A:A,0)+10),INDEX(choices!C:C,MATCH(M92,choices!A:A,0)+10),""),IF(M92=INDEX(choices!A:A,MATCH(M92,choices!A:A,0)+10), "
",""),IF(M92=INDEX(choices!A:A,MATCH(M92,choices!A:A,0)+11),INDEX(choices!C:C,MATCH(M92,choices!A:A,0)+11),""),IF(M92=INDEX(choices!A:A,MATCH(M92,choices!A:A,0)+11), "
",""),IF(M92=INDEX(choices!A:A,MATCH(M92,choices!A:A,0)+12),INDEX(choices!C:C,MATCH(M92,choices!A:A,0)+12),""),IF(M92=INDEX(choices!A:A,MATCH(M92,choices!A:A,0)+12), "
",""),IF(M92=INDEX(choices!A:A,MATCH(M92,choices!A:A,0)+13),INDEX(choices!C:C,MATCH(M92,choices!A:A,0)+13),""),IF(M92=INDEX(choices!A:A,MATCH(M92,choices!A:A,0)+13), "
",""),IF(M92=INDEX(choices!A:A,MATCH(M92,choices!A:A,0)+14),INDEX(choices!C:C,MATCH(M92,choices!A:A,0)+14),""),IF(M92=INDEX(choices!A:A,MATCH(M92,choices!A:A,0)+14), "
",""),IF(M92=INDEX(choices!A:A,MATCH(M92,choices!A:A,0)+15),INDEX(choices!C:C,MATCH(M92,choices!A:A,0)+15),""),IF(M92=INDEX(choices!A:A,MATCH(M92,choices!A:A,0)+15), "
",""),IF(M92=INDEX(choices!A:A,MATCH(M92,choices!A:A,0)+16),INDEX(choices!C:C,MATCH(M92,choices!A:A,0)+16),""),IF(M92=INDEX(choices!A:A,MATCH(M92,choices!A:A,0)+16), "
",""),IF(M92=INDEX(choices!A:A,MATCH(M92,choices!A:A,0)+17),INDEX(choices!C:C,MATCH(M92,choices!A:A,0)+17),""),IF(M92=INDEX(choices!A:A,MATCH(M92,choices!A:A,0)+17), "
",""),IF(M92=INDEX(choices!A:A,MATCH(M92,choices!A:A,0)+18),INDEX(choices!C:C,MATCH(M92,choices!A:A,0)+18),""),IF(M92=INDEX(choices!A:A,MATCH(M92,choices!A:A,0)+18), "
",""),IF(M92=INDEX(choices!A:A,MATCH(M92,choices!A:A,0)+19),INDEX(choices!C:C,MATCH(M92,choices!A:A,0)+19),""),IF(M92=INDEX(choices!A:A,MATCH(M92,choices!A:A,0)+19), "
",""),IF(M92=INDEX(choices!A:A,MATCH(M92,choices!A:A,0)+20),INDEX(choices!C:C,MATCH(M92,choices!A:A,0)+20),""),IF(M92=INDEX(choices!A:A,MATCH(M92,choices!A:A,0)+20), "
","")," ")</f>
        <v xml:space="preserve">1. الأسرة موجودة 
2. لم يتم العثور علي الأسرة 
3. رفضت الاستجابة 
4. انتقلت بأكملها الى مكان معلوم في نفس منطقة الفريق
5. انتقلت بأكملها الى مكان معلوم في منطقة فريق أخر 
6.  انتقلت بأكملها الى مكان غير معلوم
7. غادرت البلاد 
8. الاسرة توفت بالكامل 
9. مغلق مؤقتاً
 </v>
      </c>
      <c r="H92" s="48" t="str">
        <f>CONCATENATE("if= 3  or 7  or  8--&gt;finalize 
if = 2  or  = 6  or  = 9--&gt;End first visit, go to next visit
= 4 or 5 and current visit is first visit--&gt;",N186,"
 if=1 --&gt;", N151)</f>
        <v>if= 3  or 7  or  8--&gt;finalize 
if = 2  or  = 6  or  = 9--&gt;End first visit, go to next visit
= 4 or 5 and current visit is first visit--&gt;q123
 if=1 --&gt;q118</v>
      </c>
      <c r="I92" s="40">
        <f>I90+1</f>
        <v>113</v>
      </c>
      <c r="J92" s="16"/>
      <c r="K92" s="16"/>
      <c r="L92" s="22" t="s">
        <v>18</v>
      </c>
      <c r="M92" s="19" t="s">
        <v>153</v>
      </c>
      <c r="N92" s="19" t="str">
        <f>CONCATENATE("q",I92)</f>
        <v>q113</v>
      </c>
      <c r="O92" s="48" t="str">
        <f>CONCATENATE(I92,". ",E92)</f>
        <v>113. نتيجة الزيارة الأولى</v>
      </c>
      <c r="P92" s="85" t="str">
        <f>CONCATENATE(I92, ". ",B92)</f>
        <v>113. First visit result of visit</v>
      </c>
      <c r="S92" s="63" t="b">
        <v>1</v>
      </c>
      <c r="T92" s="16"/>
      <c r="Y92" s="19" t="b">
        <v>1</v>
      </c>
      <c r="Z92" s="54"/>
      <c r="AB92" s="16"/>
    </row>
    <row r="93" spans="1:34">
      <c r="G93" s="48"/>
      <c r="H93" s="40"/>
      <c r="I93" s="40"/>
      <c r="J93" s="89" t="s">
        <v>23</v>
      </c>
      <c r="K93" s="16" t="str">
        <f>CONCATENATE("selected (data('",N92,"'), '3') || selected (data('",N92,"'), '7') || selected (data('",N92,"'), '8')")</f>
        <v>selected (data('q113'), '3') || selected (data('q113'), '7') || selected (data('q113'), '8')</v>
      </c>
      <c r="Y93" s="16"/>
      <c r="Z93" s="16"/>
    </row>
    <row r="94" spans="1:34">
      <c r="G94" s="48"/>
      <c r="H94" s="40"/>
      <c r="I94" s="40"/>
      <c r="J94" s="89"/>
      <c r="K94" s="16"/>
      <c r="L94" s="22" t="s">
        <v>188</v>
      </c>
      <c r="N94" s="19" t="s">
        <v>399</v>
      </c>
      <c r="T94" s="19" t="s">
        <v>400</v>
      </c>
      <c r="Y94" s="16" t="b">
        <v>1</v>
      </c>
      <c r="Z94" s="16"/>
    </row>
    <row r="95" spans="1:34">
      <c r="G95" s="48"/>
      <c r="H95" s="40"/>
      <c r="I95" s="40"/>
      <c r="J95" s="89"/>
      <c r="K95" s="16"/>
      <c r="Y95" s="16"/>
      <c r="Z95" s="16"/>
    </row>
    <row r="96" spans="1:34" ht="45">
      <c r="B96" s="85" t="s">
        <v>155</v>
      </c>
      <c r="E96" s="407" t="s">
        <v>1065</v>
      </c>
      <c r="G96" s="48"/>
      <c r="I96" s="40"/>
      <c r="L96" s="22" t="s">
        <v>22</v>
      </c>
      <c r="O96" s="48" t="str">
        <f>E96</f>
        <v>انهي المقابلة والنتيجة استيفاء الاستمارة كاملة</v>
      </c>
      <c r="P96" s="85" t="str">
        <f>B96</f>
        <v>End Interview and Finalize Result as Complete</v>
      </c>
      <c r="Y96" s="16" t="b">
        <v>1</v>
      </c>
      <c r="AD96" s="16"/>
      <c r="AF96" s="55"/>
      <c r="AG96" s="55"/>
      <c r="AH96" s="55"/>
    </row>
    <row r="97" spans="1:34">
      <c r="B97" s="85" t="s">
        <v>157</v>
      </c>
      <c r="E97" s="407" t="s">
        <v>1066</v>
      </c>
      <c r="G97" s="48"/>
      <c r="I97" s="40"/>
      <c r="L97" s="22" t="s">
        <v>156</v>
      </c>
      <c r="O97" s="48" t="str">
        <f>E97</f>
        <v>حفظ الاستمارة</v>
      </c>
      <c r="P97" s="85" t="str">
        <f>B97</f>
        <v>Save form</v>
      </c>
      <c r="Y97" s="19" t="b">
        <v>1</v>
      </c>
      <c r="AC97" s="16"/>
      <c r="AF97" s="56"/>
      <c r="AG97" s="56"/>
      <c r="AH97" s="56"/>
    </row>
    <row r="98" spans="1:34">
      <c r="G98" s="48"/>
      <c r="I98" s="40"/>
      <c r="J98" s="89" t="s">
        <v>24</v>
      </c>
      <c r="T98" s="16"/>
      <c r="AA98" s="16"/>
    </row>
    <row r="99" spans="1:34">
      <c r="G99" s="48"/>
      <c r="I99" s="40"/>
      <c r="J99" s="88" t="s">
        <v>23</v>
      </c>
      <c r="K99" s="16" t="str">
        <f>CONCATENATE("selected (data('",N92,"'), '2') || selected (data('",N92,"'), '6') || selected (data('",N92,"'), '9')")</f>
        <v>selected (data('q113'), '2') || selected (data('q113'), '6') || selected (data('q113'), '9')</v>
      </c>
      <c r="T99" s="16"/>
      <c r="AA99" s="16"/>
    </row>
    <row r="100" spans="1:34">
      <c r="G100" s="48"/>
      <c r="I100" s="40"/>
      <c r="J100" s="22" t="s">
        <v>20</v>
      </c>
      <c r="K100" s="16"/>
      <c r="T100" s="16"/>
      <c r="AA100" s="16"/>
    </row>
    <row r="101" spans="1:34" ht="30">
      <c r="B101" s="85" t="s">
        <v>159</v>
      </c>
      <c r="E101" s="407" t="s">
        <v>158</v>
      </c>
      <c r="G101" s="48"/>
      <c r="I101" s="40"/>
      <c r="J101" s="22"/>
      <c r="K101" s="16"/>
      <c r="L101" s="22" t="s">
        <v>22</v>
      </c>
      <c r="O101" s="48" t="str">
        <f>E101</f>
        <v>نهاية الزيارة، انتقل إلى الزيارة التالية</v>
      </c>
      <c r="P101" s="85" t="str">
        <f>B101</f>
        <v>End first visit, go to next visit</v>
      </c>
      <c r="Y101" s="19" t="b">
        <v>1</v>
      </c>
    </row>
    <row r="102" spans="1:34" ht="45">
      <c r="B102" s="85" t="s">
        <v>160</v>
      </c>
      <c r="E102" s="407" t="s">
        <v>1067</v>
      </c>
      <c r="G102" s="48"/>
      <c r="I102" s="40"/>
      <c r="J102" s="22"/>
      <c r="K102" s="16"/>
      <c r="L102" s="22" t="s">
        <v>22</v>
      </c>
      <c r="O102" s="48" t="str">
        <f>E102</f>
        <v>إذا لم تكن هذه هي الزيارة الأولى اضغط "التالي"</v>
      </c>
      <c r="P102" s="85" t="str">
        <f>B102</f>
        <v>If this is not the first visit click "Next"</v>
      </c>
      <c r="Y102" s="19" t="b">
        <v>1</v>
      </c>
    </row>
    <row r="103" spans="1:34">
      <c r="G103" s="48"/>
      <c r="I103" s="40"/>
      <c r="J103" s="22" t="s">
        <v>21</v>
      </c>
      <c r="K103" s="16"/>
    </row>
    <row r="104" spans="1:34">
      <c r="B104" s="85" t="s">
        <v>157</v>
      </c>
      <c r="E104" s="407" t="s">
        <v>1066</v>
      </c>
      <c r="G104" s="48"/>
      <c r="I104" s="40"/>
      <c r="J104" s="22"/>
      <c r="K104" s="16"/>
      <c r="L104" s="22" t="s">
        <v>366</v>
      </c>
      <c r="O104" s="48" t="str">
        <f>E104</f>
        <v>حفظ الاستمارة</v>
      </c>
      <c r="P104" s="85" t="str">
        <f>B104</f>
        <v>Save form</v>
      </c>
      <c r="Y104" s="19" t="b">
        <v>1</v>
      </c>
    </row>
    <row r="105" spans="1:34">
      <c r="G105" s="48"/>
      <c r="I105" s="40"/>
      <c r="J105" s="88" t="s">
        <v>24</v>
      </c>
      <c r="K105" s="16"/>
    </row>
    <row r="106" spans="1:34">
      <c r="G106" s="48"/>
      <c r="I106" s="40"/>
      <c r="J106" s="88" t="s">
        <v>51</v>
      </c>
      <c r="K106" s="16" t="str">
        <f>CONCATENATE("selected (data('",N92,"'), '2') || (selected (data('",N92,"'), '5') &amp;&amp; data('",N12,"') ==",CHAR(34),"yes",CHAR(34),") || (selected (data('",N92,"'), '4') &amp;&amp; data('",N186,"') !=null)  || selected (data('",N92,"'), '6') || selected (data('",N92,"'), '9')")</f>
        <v>selected (data('q113'), '2') || (selected (data('q113'), '5') &amp;&amp; data('q15') =="yes") || (selected (data('q113'), '4') &amp;&amp; data('q123') !=null)  || selected (data('q113'), '6') || selected (data('q113'), '9')</v>
      </c>
    </row>
    <row r="107" spans="1:34">
      <c r="A107" s="406"/>
      <c r="B107" s="410"/>
      <c r="C107" s="407"/>
      <c r="D107" s="407"/>
      <c r="G107" s="407"/>
      <c r="H107" s="407"/>
      <c r="I107" s="406"/>
      <c r="J107" s="19" t="s">
        <v>20</v>
      </c>
      <c r="L107" s="405"/>
      <c r="N107" s="16"/>
      <c r="O107" s="407"/>
      <c r="P107" s="410"/>
    </row>
    <row r="108" spans="1:34">
      <c r="A108" s="406"/>
      <c r="B108" s="410"/>
      <c r="C108" s="407"/>
      <c r="D108" s="407"/>
      <c r="G108" s="407"/>
      <c r="H108" s="407"/>
      <c r="I108" s="406"/>
      <c r="L108" s="405" t="s">
        <v>188</v>
      </c>
      <c r="N108" s="16" t="s">
        <v>1526</v>
      </c>
      <c r="O108" s="407"/>
      <c r="P108" s="410"/>
      <c r="T108" s="19" t="s">
        <v>1528</v>
      </c>
      <c r="Y108" s="19" t="b">
        <v>1</v>
      </c>
    </row>
    <row r="109" spans="1:34" ht="45">
      <c r="A109" s="406"/>
      <c r="B109" s="410" t="str">
        <f>CONCATENATE("Today: {{data.",N108,"}}")</f>
        <v>Today: {{data.today_second}}</v>
      </c>
      <c r="C109" s="407"/>
      <c r="D109" s="407"/>
      <c r="E109" s="407" t="str">
        <f>CONCATENATE(" اليوم"," {{data.",N108,"}}")</f>
        <v xml:space="preserve"> اليوم {{data.today_second}}</v>
      </c>
      <c r="G109" s="407"/>
      <c r="H109" s="407"/>
      <c r="I109" s="406"/>
      <c r="L109" s="405" t="s">
        <v>22</v>
      </c>
      <c r="N109" s="16"/>
      <c r="O109" s="407" t="str">
        <f>E109</f>
        <v xml:space="preserve"> اليوم {{data.today_second}}</v>
      </c>
      <c r="P109" s="410" t="str">
        <f>B109</f>
        <v>Today: {{data.today_second}}</v>
      </c>
      <c r="Y109" s="19" t="b">
        <v>1</v>
      </c>
    </row>
    <row r="110" spans="1:34" ht="60">
      <c r="A110" s="19" t="str">
        <f>CONCATENATE("q",I110)</f>
        <v>q114</v>
      </c>
      <c r="B110" s="410" t="s">
        <v>314</v>
      </c>
      <c r="C110" s="407" t="str">
        <f>CONCATENATE("Constraints: ", X110,)</f>
        <v>Constraints: Date must be today or earlier</v>
      </c>
      <c r="D110" s="407"/>
      <c r="E110" s="407" t="s">
        <v>1068</v>
      </c>
      <c r="F110" s="407" t="str">
        <f>CONCATENATE("Constraints: ", W110,)</f>
        <v>Constraints: يجب أن يكون تاريخ اليوم أو يسبقه</v>
      </c>
      <c r="G110" s="407"/>
      <c r="H110" s="407"/>
      <c r="I110" s="406">
        <f>I92+1</f>
        <v>114</v>
      </c>
      <c r="J110" s="405"/>
      <c r="L110" s="285" t="s">
        <v>1338</v>
      </c>
      <c r="N110" s="19" t="str">
        <f>CONCATENATE("q",I110)</f>
        <v>q114</v>
      </c>
      <c r="O110" s="407" t="str">
        <f>CONCATENATE(I110,". ",E110)</f>
        <v>114. تاريخ الزيارة الثانية</v>
      </c>
      <c r="P110" s="410" t="str">
        <f>CONCATENATE(I110, ". ",B110)</f>
        <v>114. Second visit date</v>
      </c>
      <c r="S110" s="31" t="str">
        <f>K106</f>
        <v>selected (data('q113'), '2') || (selected (data('q113'), '5') &amp;&amp; data('q15') =="yes") || (selected (data('q113'), '4') &amp;&amp; data('q123') !=null)  || selected (data('q113'), '6') || selected (data('q113'), '9')</v>
      </c>
      <c r="V110" s="19" t="str">
        <f>CONCATENATE("data('",N110, "') &lt;= now()")</f>
        <v>data('q114') &lt;= now()</v>
      </c>
      <c r="W110" s="467" t="s">
        <v>1538</v>
      </c>
      <c r="X110" s="19" t="s">
        <v>1340</v>
      </c>
    </row>
    <row r="111" spans="1:34">
      <c r="A111" s="19"/>
      <c r="B111" s="410"/>
      <c r="C111" s="407"/>
      <c r="D111" s="407"/>
      <c r="G111" s="407"/>
      <c r="H111" s="407"/>
      <c r="I111" s="406"/>
      <c r="J111" s="405" t="s">
        <v>21</v>
      </c>
      <c r="L111" s="285"/>
      <c r="O111" s="407"/>
      <c r="P111" s="410"/>
    </row>
    <row r="112" spans="1:34" ht="252" customHeight="1">
      <c r="A112" s="19" t="str">
        <f>CONCATENATE("q",I112)</f>
        <v>q115</v>
      </c>
      <c r="B112" s="85" t="s">
        <v>315</v>
      </c>
      <c r="C112" s="31"/>
      <c r="D112" s="31" t="str">
        <f>CONCATENATE(INDEX(choices!D:D,MATCH(M112,choices!A:A,0)),"
",IF(M112=INDEX(choices!A:A,MATCH(M112,choices!A:A,0)+1),INDEX(choices!D:D,MATCH(M112,choices!A:A,0)+1),""),IF(M112=INDEX(choices!A:A,MATCH(M112,choices!A:A,0)+1), "
",""),IF(M112=INDEX(choices!A:A,MATCH(M112,choices!A:A,0)+2),INDEX(choices!D:D,MATCH(M112,choices!A:A,0)+2),""),IF(M112=INDEX(choices!A:A,MATCH(M112,choices!A:A,0)+2), "
",""),IF(M112=INDEX(choices!A:A,MATCH(M112,choices!A:A,0)+3),INDEX(choices!D:D,MATCH(M112,choices!A:A,0)+3),""),IF(M112=INDEX(choices!A:A,MATCH(M112,choices!A:A,0)+3), "
",""),IF(M112=INDEX(choices!A:A,MATCH(M112,choices!A:A,0)+4),INDEX(choices!D:D,MATCH(M112,choices!A:A,0)+4),""),IF(M112=INDEX(choices!A:A,MATCH(M112,choices!A:A,0)+4), "
",""),IF(M112=INDEX(choices!A:A,MATCH(M112,choices!A:A,0)+5),INDEX(choices!D:D,MATCH(M112,choices!A:A,0)+5),""),IF(M112=INDEX(choices!A:A,MATCH(M112,choices!A:A,0)+5), "
",""),IF(M112=INDEX(choices!A:A,MATCH(M112,choices!A:A,0)+6),INDEX(choices!D:D,MATCH(M112,choices!A:A,0)+6),""),IF(M112=INDEX(choices!A:A,MATCH(M112,choices!A:A,0)+6), "
",""),IF(M112=INDEX(choices!A:A,MATCH(M112,choices!A:A,0)+7),INDEX(choices!D:D,MATCH(M112,choices!A:A,0)+7),""),IF(M112=INDEX(choices!A:A,MATCH(M112,choices!A:A,0)+7), "
",""),IF(M112=INDEX(choices!A:A,MATCH(M112,choices!A:A,0)+8),INDEX(choices!D:D,MATCH(M112,choices!A:A,0)+8),""),IF(M112=INDEX(choices!A:A,MATCH(M112,choices!A:A,0)+8), "
",""),IF(M112=INDEX(choices!A:A,MATCH(M112,choices!A:A,0)+9),INDEX(choices!D:D,MATCH(M112,choices!A:A,0)+9),""),IF(M112=INDEX(choices!A:A,MATCH(M112,choices!A:A,0)+9), "
",""),IF(M112=INDEX(choices!A:A,MATCH(M112,choices!A:A,0)+10),INDEX(choices!D:D,MATCH(M112,choices!A:A,0)+10),""),IF(M112=INDEX(choices!A:A,MATCH(M112,choices!A:A,0)+10), "
",""),IF(M112=INDEX(choices!A:A,MATCH(M112,choices!A:A,0)+11),INDEX(choices!D:D,MATCH(M112,choices!A:A,0)+11),""),IF(M112=INDEX(choices!A:A,MATCH(M112,choices!A:A,0)+11), "
",""),IF(M112=INDEX(choices!A:A,MATCH(M112,choices!A:A,0)+12),INDEX(choices!D:D,MATCH(M112,choices!A:A,0)+12),""),IF(M112=INDEX(choices!A:A,MATCH(M112,choices!A:A,0)+12), "
",""),IF(M112=INDEX(choices!A:A,MATCH(M112,choices!A:A,0)+13),INDEX(choices!D:D,MATCH(M112,choices!A:A,0)+13),""),IF(M112=INDEX(choices!A:A,MATCH(M112,choices!A:A,0)+13), "
",""),IF(M112=INDEX(choices!A:A,MATCH(M112,choices!A:A,0)+14),INDEX(choices!D:D,MATCH(M112,choices!A:A,0)+14),""),IF(M112=INDEX(choices!A:A,MATCH(M112,choices!A:A,0)+14), "
",""),IF(M112=INDEX(choices!A:A,MATCH(M112,choices!A:A,0)+15),INDEX(choices!D:D,MATCH(M112,choices!A:A,0)+15),""),IF(M112=INDEX(choices!A:A,MATCH(M112,choices!A:A,0)+15), "
",""),IF(M112=INDEX(choices!A:A,MATCH(M112,choices!A:A,0)+16),INDEX(choices!D:D,MATCH(M112,choices!A:A,0)+16),""),IF(M112=INDEX(choices!A:A,MATCH(M112,choices!A:A,0)+16), "
",""),IF(M112=INDEX(choices!A:A,MATCH(M112,choices!A:A,0)+17),INDEX(choices!D:D,MATCH(M112,choices!A:A,0)+17),""),IF(M112=INDEX(choices!A:A,MATCH(M112,choices!A:A,0)+17), "
",""),IF(M112=INDEX(choices!A:A,MATCH(M112,choices!A:A,0)+18),INDEX(choices!D:D,MATCH(M112,choices!A:A,0)+18),""),IF(M112=INDEX(choices!A:A,MATCH(M112,choices!A:A,0)+18), "
",""),IF(M112=INDEX(choices!A:A,MATCH(M112,choices!A:A,0)+19),INDEX(choices!D:D,MATCH(M112,choices!A:A,0)+19),""),IF(M112=INDEX(choices!A:A,MATCH(M112,choices!A:A,0)+19), "
",""),IF(M112=INDEX(choices!A:A,MATCH(M112,choices!A:A,0)+20),INDEX(choices!D:D,MATCH(M112,choices!A:A,0)+20),""),IF(M112=INDEX(choices!A:A,MATCH(M112,choices!A:A,0)+20), "
",""))</f>
        <v xml:space="preserve">1. Household present
2. HH not found
3. Refused to respond
4. Moved in entirety to a known location in same team's area
5. Moved in entirety to a known location in different team's area
6. Moved in entirety to unknown location
7. Entire household left the country
8. Entire household died
9. Temporarily away
</v>
      </c>
      <c r="E112" s="407" t="s">
        <v>1069</v>
      </c>
      <c r="G112" s="48" t="str">
        <f>CONCATENATE(INDEX(choices!C:C,MATCH(M112,choices!A:A,0)),"
",IF(M112=INDEX(choices!A:A,MATCH(M112,choices!A:A,0)+1),INDEX(choices!C:C,MATCH(M112,choices!A:A,0)+1),""),IF(M112=INDEX(choices!A:A,MATCH(M112,choices!A:A,0)+1), "
",""),IF(M112=INDEX(choices!A:A,MATCH(M112,choices!A:A,0)+2),INDEX(choices!C:C,MATCH(M112,choices!A:A,0)+2),""),IF(M112=INDEX(choices!A:A,MATCH(M112,choices!A:A,0)+2), "
",""),IF(M112=INDEX(choices!A:A,MATCH(M112,choices!A:A,0)+3),INDEX(choices!C:C,MATCH(M112,choices!A:A,0)+3),""),IF(M112=INDEX(choices!A:A,MATCH(M112,choices!A:A,0)+3), "
",""),IF(M112=INDEX(choices!A:A,MATCH(M112,choices!A:A,0)+4),INDEX(choices!C:C,MATCH(M112,choices!A:A,0)+4),""),IF(M112=INDEX(choices!A:A,MATCH(M112,choices!A:A,0)+4), "
",""),IF(M112=INDEX(choices!A:A,MATCH(M112,choices!A:A,0)+5),INDEX(choices!C:C,MATCH(M112,choices!A:A,0)+5),""),IF(M112=INDEX(choices!A:A,MATCH(M112,choices!A:A,0)+5), "
",""),IF(M112=INDEX(choices!A:A,MATCH(M112,choices!A:A,0)+6),INDEX(choices!C:C,MATCH(M112,choices!A:A,0)+6),""),IF(M112=INDEX(choices!A:A,MATCH(M112,choices!A:A,0)+6), "
",""),IF(M112=INDEX(choices!A:A,MATCH(M112,choices!A:A,0)+7),INDEX(choices!C:C,MATCH(M112,choices!A:A,0)+7),""),IF(M112=INDEX(choices!A:A,MATCH(M112,choices!A:A,0)+7), "
",""),IF(M112=INDEX(choices!A:A,MATCH(M112,choices!A:A,0)+8),INDEX(choices!C:C,MATCH(M112,choices!A:A,0)+8),""),IF(M112=INDEX(choices!A:A,MATCH(M112,choices!A:A,0)+8), "
",""),IF(M112=INDEX(choices!A:A,MATCH(M112,choices!A:A,0)+9),INDEX(choices!C:C,MATCH(M112,choices!A:A,0)+9),""),IF(M112=INDEX(choices!A:A,MATCH(M112,choices!A:A,0)+9), "
",""),IF(M112=INDEX(choices!A:A,MATCH(M112,choices!A:A,0)+10),INDEX(choices!C:C,MATCH(M112,choices!A:A,0)+10),""),IF(M112=INDEX(choices!A:A,MATCH(M112,choices!A:A,0)+10), "
",""),IF(M112=INDEX(choices!A:A,MATCH(M112,choices!A:A,0)+11),INDEX(choices!C:C,MATCH(M112,choices!A:A,0)+11),""),IF(M112=INDEX(choices!A:A,MATCH(M112,choices!A:A,0)+11), "
",""),IF(M112=INDEX(choices!A:A,MATCH(M112,choices!A:A,0)+12),INDEX(choices!C:C,MATCH(M112,choices!A:A,0)+12),""),IF(M112=INDEX(choices!A:A,MATCH(M112,choices!A:A,0)+12), "
",""),IF(M112=INDEX(choices!A:A,MATCH(M112,choices!A:A,0)+13),INDEX(choices!C:C,MATCH(M112,choices!A:A,0)+13),""),IF(M112=INDEX(choices!A:A,MATCH(M112,choices!A:A,0)+13), "
",""),IF(M112=INDEX(choices!A:A,MATCH(M112,choices!A:A,0)+14),INDEX(choices!C:C,MATCH(M112,choices!A:A,0)+14),""),IF(M112=INDEX(choices!A:A,MATCH(M112,choices!A:A,0)+14), "
",""),IF(M112=INDEX(choices!A:A,MATCH(M112,choices!A:A,0)+15),INDEX(choices!C:C,MATCH(M112,choices!A:A,0)+15),""),IF(M112=INDEX(choices!A:A,MATCH(M112,choices!A:A,0)+15), "
",""),IF(M112=INDEX(choices!A:A,MATCH(M112,choices!A:A,0)+16),INDEX(choices!C:C,MATCH(M112,choices!A:A,0)+16),""),IF(M112=INDEX(choices!A:A,MATCH(M112,choices!A:A,0)+16), "
",""),IF(M112=INDEX(choices!A:A,MATCH(M112,choices!A:A,0)+17),INDEX(choices!C:C,MATCH(M112,choices!A:A,0)+17),""),IF(M112=INDEX(choices!A:A,MATCH(M112,choices!A:A,0)+17), "
",""),IF(M112=INDEX(choices!A:A,MATCH(M112,choices!A:A,0)+18),INDEX(choices!C:C,MATCH(M112,choices!A:A,0)+18),""),IF(M112=INDEX(choices!A:A,MATCH(M112,choices!A:A,0)+18), "
",""),IF(M112=INDEX(choices!A:A,MATCH(M112,choices!A:A,0)+19),INDEX(choices!C:C,MATCH(M112,choices!A:A,0)+19),""),IF(M112=INDEX(choices!A:A,MATCH(M112,choices!A:A,0)+19), "
",""),IF(M112=INDEX(choices!A:A,MATCH(M112,choices!A:A,0)+20),INDEX(choices!C:C,MATCH(M112,choices!A:A,0)+20),""),IF(M112=INDEX(choices!A:A,MATCH(M112,choices!A:A,0)+20), "
","")," ")</f>
        <v xml:space="preserve">1. الأسرة موجودة 
2. لم يتم العثور علي الأسرة 
3. رفضت الاستجابة 
4. انتقلت بأكملها الى مكان معلوم في نفس منطقة الفريق
5. انتقلت بأكملها الى مكان معلوم في منطقة فريق أخر 
6.  انتقلت بأكملها الى مكان غير معلوم
7. غادرت البلاد 
8. الاسرة توفت بالكامل 
9. مغلق مؤقتاً
 </v>
      </c>
      <c r="H112" s="48" t="str">
        <f>CONCATENATE("if= 3  or 7  or  8--&gt;finalize 
if = 2  or  = 6  or  = 9--&gt;End second visit, go to next visit
= 4 or 5 and current visit is second visit--&gt;",N186,"
 if=1 --&gt;", N151)</f>
        <v>if= 3  or 7  or  8--&gt;finalize 
if = 2  or  = 6  or  = 9--&gt;End second visit, go to next visit
= 4 or 5 and current visit is second visit--&gt;q123
 if=1 --&gt;q118</v>
      </c>
      <c r="I112" s="40">
        <f>I110+1</f>
        <v>115</v>
      </c>
      <c r="J112" s="22"/>
      <c r="L112" s="22" t="s">
        <v>18</v>
      </c>
      <c r="M112" s="19" t="s">
        <v>153</v>
      </c>
      <c r="N112" s="19" t="str">
        <f>CONCATENATE("q",I112)</f>
        <v>q115</v>
      </c>
      <c r="O112" s="48" t="str">
        <f>CONCATENATE(I112,". ",E112)</f>
        <v>115. نتيجة الزيارة الثانية</v>
      </c>
      <c r="P112" s="85" t="str">
        <f>CONCATENATE(I112, ". ",B112)</f>
        <v>115. Second visit result of visit</v>
      </c>
      <c r="S112" s="31" t="str">
        <f>K106</f>
        <v>selected (data('q113'), '2') || (selected (data('q113'), '5') &amp;&amp; data('q15') =="yes") || (selected (data('q113'), '4') &amp;&amp; data('q123') !=null)  || selected (data('q113'), '6') || selected (data('q113'), '9')</v>
      </c>
      <c r="Y112" s="19" t="b">
        <v>1</v>
      </c>
    </row>
    <row r="113" spans="1:27">
      <c r="G113" s="48"/>
      <c r="I113" s="40"/>
      <c r="J113" s="90" t="s">
        <v>23</v>
      </c>
      <c r="K113" s="16" t="str">
        <f>CONCATENATE("selected (data('",N112,"'), '3') || selected (data('",N112,"'), '7') || selected (data('",N112,"'), '8')")</f>
        <v>selected (data('q115'), '3') || selected (data('q115'), '7') || selected (data('q115'), '8')</v>
      </c>
    </row>
    <row r="114" spans="1:27">
      <c r="G114" s="48"/>
      <c r="I114" s="40"/>
      <c r="J114" s="89"/>
      <c r="K114" s="300"/>
      <c r="L114" s="22" t="s">
        <v>188</v>
      </c>
      <c r="N114" s="19" t="s">
        <v>399</v>
      </c>
      <c r="T114" s="19" t="s">
        <v>400</v>
      </c>
      <c r="Y114" s="16" t="b">
        <v>1</v>
      </c>
    </row>
    <row r="115" spans="1:27">
      <c r="G115" s="48"/>
      <c r="I115" s="40"/>
      <c r="J115" s="90"/>
      <c r="K115" s="16"/>
    </row>
    <row r="116" spans="1:27" ht="45">
      <c r="B116" s="85" t="s">
        <v>155</v>
      </c>
      <c r="E116" s="407" t="s">
        <v>1065</v>
      </c>
      <c r="G116" s="48"/>
      <c r="I116" s="40"/>
      <c r="J116" s="22"/>
      <c r="L116" s="22" t="s">
        <v>22</v>
      </c>
      <c r="O116" s="48" t="str">
        <f>E116</f>
        <v>انهي المقابلة والنتيجة استيفاء الاستمارة كاملة</v>
      </c>
      <c r="P116" s="85" t="str">
        <f>B116</f>
        <v>End Interview and Finalize Result as Complete</v>
      </c>
      <c r="Y116" s="19" t="b">
        <v>1</v>
      </c>
    </row>
    <row r="117" spans="1:27">
      <c r="B117" s="85" t="s">
        <v>157</v>
      </c>
      <c r="E117" s="407" t="s">
        <v>1066</v>
      </c>
      <c r="G117" s="48"/>
      <c r="I117" s="40"/>
      <c r="J117" s="23"/>
      <c r="L117" s="22" t="s">
        <v>156</v>
      </c>
      <c r="O117" s="48" t="str">
        <f>E117</f>
        <v>حفظ الاستمارة</v>
      </c>
      <c r="P117" s="85" t="str">
        <f>B117</f>
        <v>Save form</v>
      </c>
      <c r="Y117" s="19" t="b">
        <v>1</v>
      </c>
    </row>
    <row r="118" spans="1:27">
      <c r="G118" s="48"/>
      <c r="I118" s="40"/>
      <c r="J118" s="66" t="s">
        <v>24</v>
      </c>
      <c r="K118" s="16"/>
    </row>
    <row r="119" spans="1:27">
      <c r="G119" s="48"/>
      <c r="I119" s="40"/>
      <c r="J119" s="66" t="s">
        <v>23</v>
      </c>
      <c r="K119" s="16" t="str">
        <f>CONCATENATE("selected (data('",N112,"'), '2') || selected (data('",N112,"'), '6') || selected (data('",N112,"'), '9')")</f>
        <v>selected (data('q115'), '2') || selected (data('q115'), '6') || selected (data('q115'), '9')</v>
      </c>
    </row>
    <row r="120" spans="1:27">
      <c r="G120" s="48"/>
      <c r="I120" s="40"/>
      <c r="J120" s="22" t="s">
        <v>20</v>
      </c>
      <c r="K120" s="16"/>
      <c r="T120" s="16"/>
      <c r="AA120" s="16"/>
    </row>
    <row r="121" spans="1:27" ht="45">
      <c r="B121" s="85" t="s">
        <v>161</v>
      </c>
      <c r="E121" s="407" t="s">
        <v>1070</v>
      </c>
      <c r="G121" s="48"/>
      <c r="I121" s="40"/>
      <c r="J121" s="22"/>
      <c r="K121" s="16"/>
      <c r="L121" s="22" t="s">
        <v>22</v>
      </c>
      <c r="O121" s="48" t="str">
        <f>E121</f>
        <v>نهاية الزيارة الثانية، انتقل إلى الزيارة التالية</v>
      </c>
      <c r="P121" s="85" t="str">
        <f>B121</f>
        <v>End second visit and go to next visit.</v>
      </c>
      <c r="Y121" s="19" t="b">
        <v>1</v>
      </c>
    </row>
    <row r="122" spans="1:27" ht="45">
      <c r="A122" s="48"/>
      <c r="B122" s="85" t="s">
        <v>162</v>
      </c>
      <c r="E122" s="407" t="s">
        <v>1071</v>
      </c>
      <c r="G122" s="48"/>
      <c r="I122" s="40"/>
      <c r="J122" s="22"/>
      <c r="K122" s="16"/>
      <c r="L122" s="22" t="s">
        <v>22</v>
      </c>
      <c r="O122" s="48" t="str">
        <f>E122</f>
        <v>إذا لم تكن هذه هي الزيارة الثانية اضغط "التالي"</v>
      </c>
      <c r="P122" s="85" t="str">
        <f>B122</f>
        <v>If this is not the second visit click "Next"</v>
      </c>
      <c r="Y122" s="19" t="b">
        <v>1</v>
      </c>
    </row>
    <row r="123" spans="1:27">
      <c r="G123" s="48"/>
      <c r="I123" s="40"/>
      <c r="J123" s="22" t="s">
        <v>21</v>
      </c>
      <c r="K123" s="16"/>
    </row>
    <row r="124" spans="1:27">
      <c r="B124" s="85" t="s">
        <v>157</v>
      </c>
      <c r="E124" s="407" t="s">
        <v>1066</v>
      </c>
      <c r="G124" s="48"/>
      <c r="I124" s="40"/>
      <c r="J124" s="23"/>
      <c r="L124" s="22" t="s">
        <v>156</v>
      </c>
      <c r="O124" s="48" t="str">
        <f>E124</f>
        <v>حفظ الاستمارة</v>
      </c>
      <c r="P124" s="85" t="str">
        <f>B124</f>
        <v>Save form</v>
      </c>
      <c r="Y124" s="19" t="b">
        <v>1</v>
      </c>
    </row>
    <row r="125" spans="1:27">
      <c r="G125" s="48"/>
      <c r="I125" s="40"/>
      <c r="J125" s="66" t="s">
        <v>24</v>
      </c>
      <c r="K125" s="16"/>
    </row>
    <row r="126" spans="1:27">
      <c r="G126" s="48"/>
      <c r="I126" s="40"/>
      <c r="J126" s="66" t="s">
        <v>51</v>
      </c>
      <c r="K126" s="16" t="str">
        <f>CONCATENATE("selected (data('",N112,"'), '2') || (selected (data('",N112,"'), '5') &amp;&amp; data('",N12,"') ==",CHAR(34),"yes",CHAR(34),")  || (selected (data('",N112,"'), '4') &amp;&amp; data('",N186,"') !=null) || selected (data('",N112,"'), '6') || selected (data('",N112,"'), '9')")</f>
        <v>selected (data('q115'), '2') || (selected (data('q115'), '5') &amp;&amp; data('q15') =="yes")  || (selected (data('q115'), '4') &amp;&amp; data('q123') !=null) || selected (data('q115'), '6') || selected (data('q115'), '9')</v>
      </c>
    </row>
    <row r="127" spans="1:27">
      <c r="A127" s="406"/>
      <c r="B127" s="410"/>
      <c r="C127" s="407"/>
      <c r="D127" s="407"/>
      <c r="G127" s="407"/>
      <c r="H127" s="407"/>
      <c r="I127" s="406"/>
      <c r="J127" s="19" t="s">
        <v>20</v>
      </c>
      <c r="L127" s="405"/>
      <c r="N127" s="16"/>
      <c r="O127" s="407"/>
      <c r="P127" s="410"/>
    </row>
    <row r="128" spans="1:27">
      <c r="A128" s="406"/>
      <c r="B128" s="410"/>
      <c r="C128" s="407"/>
      <c r="D128" s="407"/>
      <c r="G128" s="407"/>
      <c r="H128" s="407"/>
      <c r="I128" s="406"/>
      <c r="L128" s="405" t="s">
        <v>188</v>
      </c>
      <c r="N128" s="16" t="s">
        <v>1527</v>
      </c>
      <c r="O128" s="407"/>
      <c r="P128" s="410"/>
      <c r="T128" s="19" t="s">
        <v>1528</v>
      </c>
      <c r="Y128" s="19" t="b">
        <v>1</v>
      </c>
    </row>
    <row r="129" spans="1:25" ht="45">
      <c r="A129" s="406"/>
      <c r="B129" s="410" t="str">
        <f>CONCATENATE("Today: {{data.",N128,"}}")</f>
        <v>Today: {{data.today_third}}</v>
      </c>
      <c r="D129" s="407"/>
      <c r="E129" s="407" t="str">
        <f>CONCATENATE(" اليوم"," {{data.",N128,"}}")</f>
        <v xml:space="preserve"> اليوم {{data.today_third}}</v>
      </c>
      <c r="G129" s="407"/>
      <c r="H129" s="407"/>
      <c r="I129" s="406"/>
      <c r="L129" s="405" t="s">
        <v>22</v>
      </c>
      <c r="N129" s="16"/>
      <c r="O129" s="48" t="str">
        <f>E129</f>
        <v xml:space="preserve"> اليوم {{data.today_third}}</v>
      </c>
      <c r="P129" s="85" t="str">
        <f>B129</f>
        <v>Today: {{data.today_third}}</v>
      </c>
      <c r="Y129" s="19" t="b">
        <v>1</v>
      </c>
    </row>
    <row r="130" spans="1:25" ht="105">
      <c r="A130" s="19" t="str">
        <f>CONCATENATE("q",I130)</f>
        <v>q116</v>
      </c>
      <c r="B130" s="410" t="s">
        <v>316</v>
      </c>
      <c r="C130" s="407" t="str">
        <f>CONCATENATE("Constraints: ", X130,)</f>
        <v>Constraints: Date must be today or earlier</v>
      </c>
      <c r="D130" s="407"/>
      <c r="E130" s="407" t="s">
        <v>1072</v>
      </c>
      <c r="F130" s="407" t="str">
        <f>CONCATENATE("Constraints: ", W130,)</f>
        <v>Constraints: يجب أن يكون تاريخ اليوم أو يسبقه</v>
      </c>
      <c r="G130" s="407"/>
      <c r="H130" s="407"/>
      <c r="I130" s="406">
        <f>I112+1</f>
        <v>116</v>
      </c>
      <c r="J130" s="405"/>
      <c r="L130" s="285" t="s">
        <v>1338</v>
      </c>
      <c r="N130" s="19" t="str">
        <f>CONCATENATE("q",I130)</f>
        <v>q116</v>
      </c>
      <c r="O130" s="407" t="str">
        <f>CONCATENATE(I130,". ",E130)</f>
        <v>116. تاريخ الزيارة الثالثة</v>
      </c>
      <c r="P130" s="410" t="str">
        <f>CONCATENATE(I130, ". ",B130)</f>
        <v>116. Third visit date</v>
      </c>
      <c r="S130" s="63" t="str">
        <f>K126</f>
        <v>selected (data('q115'), '2') || (selected (data('q115'), '5') &amp;&amp; data('q15') =="yes")  || (selected (data('q115'), '4') &amp;&amp; data('q123') !=null) || selected (data('q115'), '6') || selected (data('q115'), '9')</v>
      </c>
      <c r="V130" s="19" t="str">
        <f>CONCATENATE("data('",N130, "') &lt;= now()")</f>
        <v>data('q116') &lt;= now()</v>
      </c>
      <c r="W130" s="467" t="s">
        <v>1538</v>
      </c>
      <c r="X130" s="19" t="s">
        <v>1340</v>
      </c>
    </row>
    <row r="131" spans="1:25">
      <c r="A131" s="19"/>
      <c r="B131" s="410"/>
      <c r="C131" s="407"/>
      <c r="D131" s="407"/>
      <c r="G131" s="407"/>
      <c r="H131" s="407"/>
      <c r="I131" s="406"/>
      <c r="J131" s="405" t="s">
        <v>21</v>
      </c>
      <c r="L131" s="285"/>
      <c r="O131" s="407"/>
      <c r="P131" s="410"/>
      <c r="S131" s="63"/>
    </row>
    <row r="132" spans="1:25" ht="236.1" customHeight="1">
      <c r="A132" s="19" t="str">
        <f>CONCATENATE("q",I132)</f>
        <v>q117</v>
      </c>
      <c r="B132" s="85" t="s">
        <v>317</v>
      </c>
      <c r="C132" s="31"/>
      <c r="D132" s="31" t="str">
        <f>CONCATENATE(INDEX(choices!D:D,MATCH(M132,choices!A:A,0)),"
",IF(M132=INDEX(choices!A:A,MATCH(M132,choices!A:A,0)+1),INDEX(choices!D:D,MATCH(M132,choices!A:A,0)+1),""),IF(M132=INDEX(choices!A:A,MATCH(M132,choices!A:A,0)+1), "
",""),IF(M132=INDEX(choices!A:A,MATCH(M132,choices!A:A,0)+2),INDEX(choices!D:D,MATCH(M132,choices!A:A,0)+2),""),IF(M132=INDEX(choices!A:A,MATCH(M132,choices!A:A,0)+2), "
",""),IF(M132=INDEX(choices!A:A,MATCH(M132,choices!A:A,0)+3),INDEX(choices!D:D,MATCH(M132,choices!A:A,0)+3),""),IF(M132=INDEX(choices!A:A,MATCH(M132,choices!A:A,0)+3), "
",""),IF(M132=INDEX(choices!A:A,MATCH(M132,choices!A:A,0)+4),INDEX(choices!D:D,MATCH(M132,choices!A:A,0)+4),""),IF(M132=INDEX(choices!A:A,MATCH(M132,choices!A:A,0)+4), "
",""),IF(M132=INDEX(choices!A:A,MATCH(M132,choices!A:A,0)+5),INDEX(choices!D:D,MATCH(M132,choices!A:A,0)+5),""),IF(M132=INDEX(choices!A:A,MATCH(M132,choices!A:A,0)+5), "
",""),IF(M132=INDEX(choices!A:A,MATCH(M132,choices!A:A,0)+6),INDEX(choices!D:D,MATCH(M132,choices!A:A,0)+6),""),IF(M132=INDEX(choices!A:A,MATCH(M132,choices!A:A,0)+6), "
",""),IF(M132=INDEX(choices!A:A,MATCH(M132,choices!A:A,0)+7),INDEX(choices!D:D,MATCH(M132,choices!A:A,0)+7),""),IF(M132=INDEX(choices!A:A,MATCH(M132,choices!A:A,0)+7), "
",""),IF(M132=INDEX(choices!A:A,MATCH(M132,choices!A:A,0)+8),INDEX(choices!D:D,MATCH(M132,choices!A:A,0)+8),""),IF(M132=INDEX(choices!A:A,MATCH(M132,choices!A:A,0)+8), "
",""),IF(M132=INDEX(choices!A:A,MATCH(M132,choices!A:A,0)+9),INDEX(choices!D:D,MATCH(M132,choices!A:A,0)+9),""),IF(M132=INDEX(choices!A:A,MATCH(M132,choices!A:A,0)+9), "
",""),IF(M132=INDEX(choices!A:A,MATCH(M132,choices!A:A,0)+10),INDEX(choices!D:D,MATCH(M132,choices!A:A,0)+10),""),IF(M132=INDEX(choices!A:A,MATCH(M132,choices!A:A,0)+10), "
",""),IF(M132=INDEX(choices!A:A,MATCH(M132,choices!A:A,0)+11),INDEX(choices!D:D,MATCH(M132,choices!A:A,0)+11),""),IF(M132=INDEX(choices!A:A,MATCH(M132,choices!A:A,0)+11), "
",""),IF(M132=INDEX(choices!A:A,MATCH(M132,choices!A:A,0)+12),INDEX(choices!D:D,MATCH(M132,choices!A:A,0)+12),""),IF(M132=INDEX(choices!A:A,MATCH(M132,choices!A:A,0)+12), "
",""),IF(M132=INDEX(choices!A:A,MATCH(M132,choices!A:A,0)+13),INDEX(choices!D:D,MATCH(M132,choices!A:A,0)+13),""),IF(M132=INDEX(choices!A:A,MATCH(M132,choices!A:A,0)+13), "
",""),IF(M132=INDEX(choices!A:A,MATCH(M132,choices!A:A,0)+14),INDEX(choices!D:D,MATCH(M132,choices!A:A,0)+14),""),IF(M132=INDEX(choices!A:A,MATCH(M132,choices!A:A,0)+14), "
",""),IF(M132=INDEX(choices!A:A,MATCH(M132,choices!A:A,0)+15),INDEX(choices!D:D,MATCH(M132,choices!A:A,0)+15),""),IF(M132=INDEX(choices!A:A,MATCH(M132,choices!A:A,0)+15), "
",""),IF(M132=INDEX(choices!A:A,MATCH(M132,choices!A:A,0)+16),INDEX(choices!D:D,MATCH(M132,choices!A:A,0)+16),""),IF(M132=INDEX(choices!A:A,MATCH(M132,choices!A:A,0)+16), "
",""),IF(M132=INDEX(choices!A:A,MATCH(M132,choices!A:A,0)+17),INDEX(choices!D:D,MATCH(M132,choices!A:A,0)+17),""),IF(M132=INDEX(choices!A:A,MATCH(M132,choices!A:A,0)+17), "
",""),IF(M132=INDEX(choices!A:A,MATCH(M132,choices!A:A,0)+18),INDEX(choices!D:D,MATCH(M132,choices!A:A,0)+18),""),IF(M132=INDEX(choices!A:A,MATCH(M132,choices!A:A,0)+18), "
",""),IF(M132=INDEX(choices!A:A,MATCH(M132,choices!A:A,0)+19),INDEX(choices!D:D,MATCH(M132,choices!A:A,0)+19),""),IF(M132=INDEX(choices!A:A,MATCH(M132,choices!A:A,0)+19), "
",""),IF(M132=INDEX(choices!A:A,MATCH(M132,choices!A:A,0)+20),INDEX(choices!D:D,MATCH(M132,choices!A:A,0)+20),""),IF(M132=INDEX(choices!A:A,MATCH(M132,choices!A:A,0)+20), "
",""))</f>
        <v xml:space="preserve">1. Household present
2. HH not found
3. Refused to respond
4. Moved in entirety to a known location in same team's area
5. Moved in entirety to a known location in different team's area
6. Moved in entirety to unknown location
7. Entire household left the country
8. Entire household died
9. Temporarily away
</v>
      </c>
      <c r="E132" s="407" t="s">
        <v>1073</v>
      </c>
      <c r="G132" s="48" t="str">
        <f>CONCATENATE(INDEX(choices!C:C,MATCH(M132,choices!A:A,0)),"
",IF(M132=INDEX(choices!A:A,MATCH(M132,choices!A:A,0)+1),INDEX(choices!C:C,MATCH(M132,choices!A:A,0)+1),""),IF(M132=INDEX(choices!A:A,MATCH(M132,choices!A:A,0)+1), "
",""),IF(M132=INDEX(choices!A:A,MATCH(M132,choices!A:A,0)+2),INDEX(choices!C:C,MATCH(M132,choices!A:A,0)+2),""),IF(M132=INDEX(choices!A:A,MATCH(M132,choices!A:A,0)+2), "
",""),IF(M132=INDEX(choices!A:A,MATCH(M132,choices!A:A,0)+3),INDEX(choices!C:C,MATCH(M132,choices!A:A,0)+3),""),IF(M132=INDEX(choices!A:A,MATCH(M132,choices!A:A,0)+3), "
",""),IF(M132=INDEX(choices!A:A,MATCH(M132,choices!A:A,0)+4),INDEX(choices!C:C,MATCH(M132,choices!A:A,0)+4),""),IF(M132=INDEX(choices!A:A,MATCH(M132,choices!A:A,0)+4), "
",""),IF(M132=INDEX(choices!A:A,MATCH(M132,choices!A:A,0)+5),INDEX(choices!C:C,MATCH(M132,choices!A:A,0)+5),""),IF(M132=INDEX(choices!A:A,MATCH(M132,choices!A:A,0)+5), "
",""),IF(M132=INDEX(choices!A:A,MATCH(M132,choices!A:A,0)+6),INDEX(choices!C:C,MATCH(M132,choices!A:A,0)+6),""),IF(M132=INDEX(choices!A:A,MATCH(M132,choices!A:A,0)+6), "
",""),IF(M132=INDEX(choices!A:A,MATCH(M132,choices!A:A,0)+7),INDEX(choices!C:C,MATCH(M132,choices!A:A,0)+7),""),IF(M132=INDEX(choices!A:A,MATCH(M132,choices!A:A,0)+7), "
",""),IF(M132=INDEX(choices!A:A,MATCH(M132,choices!A:A,0)+8),INDEX(choices!C:C,MATCH(M132,choices!A:A,0)+8),""),IF(M132=INDEX(choices!A:A,MATCH(M132,choices!A:A,0)+8), "
",""),IF(M132=INDEX(choices!A:A,MATCH(M132,choices!A:A,0)+9),INDEX(choices!C:C,MATCH(M132,choices!A:A,0)+9),""),IF(M132=INDEX(choices!A:A,MATCH(M132,choices!A:A,0)+9), "
",""),IF(M132=INDEX(choices!A:A,MATCH(M132,choices!A:A,0)+10),INDEX(choices!C:C,MATCH(M132,choices!A:A,0)+10),""),IF(M132=INDEX(choices!A:A,MATCH(M132,choices!A:A,0)+10), "
",""),IF(M132=INDEX(choices!A:A,MATCH(M132,choices!A:A,0)+11),INDEX(choices!C:C,MATCH(M132,choices!A:A,0)+11),""),IF(M132=INDEX(choices!A:A,MATCH(M132,choices!A:A,0)+11), "
",""),IF(M132=INDEX(choices!A:A,MATCH(M132,choices!A:A,0)+12),INDEX(choices!C:C,MATCH(M132,choices!A:A,0)+12),""),IF(M132=INDEX(choices!A:A,MATCH(M132,choices!A:A,0)+12), "
",""),IF(M132=INDEX(choices!A:A,MATCH(M132,choices!A:A,0)+13),INDEX(choices!C:C,MATCH(M132,choices!A:A,0)+13),""),IF(M132=INDEX(choices!A:A,MATCH(M132,choices!A:A,0)+13), "
",""),IF(M132=INDEX(choices!A:A,MATCH(M132,choices!A:A,0)+14),INDEX(choices!C:C,MATCH(M132,choices!A:A,0)+14),""),IF(M132=INDEX(choices!A:A,MATCH(M132,choices!A:A,0)+14), "
",""),IF(M132=INDEX(choices!A:A,MATCH(M132,choices!A:A,0)+15),INDEX(choices!C:C,MATCH(M132,choices!A:A,0)+15),""),IF(M132=INDEX(choices!A:A,MATCH(M132,choices!A:A,0)+15), "
",""),IF(M132=INDEX(choices!A:A,MATCH(M132,choices!A:A,0)+16),INDEX(choices!C:C,MATCH(M132,choices!A:A,0)+16),""),IF(M132=INDEX(choices!A:A,MATCH(M132,choices!A:A,0)+16), "
",""),IF(M132=INDEX(choices!A:A,MATCH(M132,choices!A:A,0)+17),INDEX(choices!C:C,MATCH(M132,choices!A:A,0)+17),""),IF(M132=INDEX(choices!A:A,MATCH(M132,choices!A:A,0)+17), "
",""),IF(M132=INDEX(choices!A:A,MATCH(M132,choices!A:A,0)+18),INDEX(choices!C:C,MATCH(M132,choices!A:A,0)+18),""),IF(M132=INDEX(choices!A:A,MATCH(M132,choices!A:A,0)+18), "
",""),IF(M132=INDEX(choices!A:A,MATCH(M132,choices!A:A,0)+19),INDEX(choices!C:C,MATCH(M132,choices!A:A,0)+19),""),IF(M132=INDEX(choices!A:A,MATCH(M132,choices!A:A,0)+19), "
",""),IF(M132=INDEX(choices!A:A,MATCH(M132,choices!A:A,0)+20),INDEX(choices!C:C,MATCH(M132,choices!A:A,0)+20),""),IF(M132=INDEX(choices!A:A,MATCH(M132,choices!A:A,0)+20), "
","")," ")</f>
        <v xml:space="preserve">1. الأسرة موجودة 
2. لم يتم العثور علي الأسرة 
3. رفضت الاستجابة 
4. انتقلت بأكملها الى مكان معلوم في نفس منطقة الفريق
5. انتقلت بأكملها الى مكان معلوم في منطقة فريق أخر 
6.  انتقلت بأكملها الى مكان غير معلوم
7. غادرت البلاد 
8. الاسرة توفت بالكامل 
9. مغلق مؤقتاً
 </v>
      </c>
      <c r="H132" s="48" t="str">
        <f>CONCATENATE(J133,SUBSTITUTE(SUBSTITUTE(SUBSTITUTE(SUBSTITUTE(SUBSTITUTE(SUBSTITUTE(SUBSTITUTE(K133,",","="),"selected",""),"data",""),"||"," or "),")",""),"(",""),"'",""),"--&gt;",L137)</f>
        <v xml:space="preserve">if q117= 2  or    q117= 3  or   q117= 4  or   q117= 5  or   q117= 6  or   q117= 7  or   q117= 8   or   q117= 9--&gt;finalize </v>
      </c>
      <c r="I132" s="40">
        <f>I130+1</f>
        <v>117</v>
      </c>
      <c r="J132" s="23"/>
      <c r="L132" s="22" t="s">
        <v>163</v>
      </c>
      <c r="M132" s="19" t="s">
        <v>153</v>
      </c>
      <c r="N132" s="19" t="str">
        <f>CONCATENATE("q",I132)</f>
        <v>q117</v>
      </c>
      <c r="O132" s="48" t="str">
        <f>CONCATENATE(I132,". ",E132)</f>
        <v>117. نتيجة الزيارة الثالثة</v>
      </c>
      <c r="P132" s="85" t="str">
        <f>CONCATENATE(I132, ". ",B132)</f>
        <v>117. Third visit result of visit</v>
      </c>
      <c r="S132" s="31" t="str">
        <f>K126</f>
        <v>selected (data('q115'), '2') || (selected (data('q115'), '5') &amp;&amp; data('q15') =="yes")  || (selected (data('q115'), '4') &amp;&amp; data('q123') !=null) || selected (data('q115'), '6') || selected (data('q115'), '9')</v>
      </c>
      <c r="Y132" s="19" t="b">
        <v>1</v>
      </c>
    </row>
    <row r="133" spans="1:25">
      <c r="G133" s="48"/>
      <c r="I133" s="40"/>
      <c r="J133" s="91" t="s">
        <v>23</v>
      </c>
      <c r="K133" s="16" t="str">
        <f>CONCATENATE("selected (data('",N132,"'), '2') ||  selected (data('",N132,"'), '3') || selected (data('",N132,"'), '4') || selected (data('",N132,"'), '5') || selected (data('",N132,"'), '6') || selected (data('",N132,"'), '7') || selected (data('",N132,"'), '8')  || selected (data('",N132,"'), '9')")</f>
        <v>selected (data('q117'), '2') ||  selected (data('q117'), '3') || selected (data('q117'), '4') || selected (data('q117'), '5') || selected (data('q117'), '6') || selected (data('q117'), '7') || selected (data('q117'), '8')  || selected (data('q117'), '9')</v>
      </c>
    </row>
    <row r="134" spans="1:25">
      <c r="G134" s="48"/>
      <c r="I134" s="40"/>
      <c r="J134" s="91"/>
      <c r="K134" s="16"/>
      <c r="L134" s="22" t="s">
        <v>188</v>
      </c>
      <c r="N134" s="19" t="s">
        <v>399</v>
      </c>
      <c r="T134" s="19" t="s">
        <v>400</v>
      </c>
      <c r="Y134" s="16" t="b">
        <v>1</v>
      </c>
    </row>
    <row r="135" spans="1:25">
      <c r="G135" s="48"/>
      <c r="I135" s="40"/>
      <c r="J135" s="91"/>
      <c r="K135" s="16"/>
    </row>
    <row r="136" spans="1:25" ht="30">
      <c r="B136" s="85" t="s">
        <v>164</v>
      </c>
      <c r="E136" s="407" t="s">
        <v>154</v>
      </c>
      <c r="G136" s="48"/>
      <c r="I136" s="40"/>
      <c r="J136" s="23"/>
      <c r="L136" s="22" t="s">
        <v>22</v>
      </c>
      <c r="O136" s="48" t="str">
        <f>E136</f>
        <v>نهاية المقابلة و حفظ النتيجة</v>
      </c>
      <c r="P136" s="85" t="str">
        <f>B136</f>
        <v>End Interview and Finalize Result</v>
      </c>
      <c r="Y136" s="19" t="b">
        <v>1</v>
      </c>
    </row>
    <row r="137" spans="1:25">
      <c r="B137" s="85" t="s">
        <v>157</v>
      </c>
      <c r="E137" s="407" t="s">
        <v>1066</v>
      </c>
      <c r="G137" s="48"/>
      <c r="I137" s="40"/>
      <c r="J137" s="23"/>
      <c r="L137" s="22" t="s">
        <v>156</v>
      </c>
      <c r="O137" s="48" t="str">
        <f>E137</f>
        <v>حفظ الاستمارة</v>
      </c>
      <c r="P137" s="85" t="str">
        <f>B137</f>
        <v>Save form</v>
      </c>
      <c r="Y137" s="19" t="b">
        <v>1</v>
      </c>
    </row>
    <row r="138" spans="1:25">
      <c r="G138" s="48"/>
      <c r="I138" s="40"/>
      <c r="J138" s="92" t="s">
        <v>24</v>
      </c>
      <c r="K138" s="16"/>
    </row>
    <row r="139" spans="1:25">
      <c r="G139" s="48"/>
      <c r="I139" s="40"/>
      <c r="J139" s="66" t="s">
        <v>24</v>
      </c>
      <c r="S139" s="63"/>
    </row>
    <row r="140" spans="1:25">
      <c r="G140" s="48"/>
      <c r="I140" s="40"/>
      <c r="J140" s="88" t="s">
        <v>42</v>
      </c>
      <c r="S140" s="63"/>
    </row>
    <row r="141" spans="1:25">
      <c r="A141" s="406"/>
      <c r="B141" s="410"/>
      <c r="C141" s="407"/>
      <c r="D141" s="407"/>
      <c r="G141" s="407"/>
      <c r="H141" s="407"/>
      <c r="I141" s="406"/>
      <c r="J141" s="88" t="s">
        <v>23</v>
      </c>
      <c r="K141" s="19" t="str">
        <f>CONCATENATE("(selected(data('",N92,"'), '1') || selected(data('",N112,"'), '1') || selected(data('",N132,"'), '1'))")</f>
        <v>(selected(data('q113'), '1') || selected(data('q115'), '1') || selected(data('q117'), '1'))</v>
      </c>
      <c r="L141" s="405"/>
      <c r="O141" s="407"/>
      <c r="P141" s="410"/>
      <c r="S141" s="63"/>
    </row>
    <row r="142" spans="1:25">
      <c r="G142" s="48"/>
      <c r="H142" s="78"/>
      <c r="I142" s="40"/>
      <c r="J142" s="22" t="s">
        <v>20</v>
      </c>
      <c r="S142" s="63"/>
    </row>
    <row r="143" spans="1:25">
      <c r="G143" s="48"/>
      <c r="I143" s="40"/>
      <c r="J143" s="66" t="s">
        <v>23</v>
      </c>
      <c r="K143" s="19" t="str">
        <f>CONCATENATE("data('",N7,"')===",CHAR(34),"no",CHAR(34), "&amp;&amp;", K141)</f>
        <v>data('q10')==="no"&amp;&amp;(selected(data('q113'), '1') || selected(data('q115'), '1') || selected(data('q117'), '1'))</v>
      </c>
      <c r="S143" s="63"/>
    </row>
    <row r="144" spans="1:25" ht="409.5">
      <c r="B144" s="85" t="s">
        <v>368</v>
      </c>
      <c r="E144" s="407" t="s">
        <v>1074</v>
      </c>
      <c r="G144" s="48"/>
      <c r="I144" s="40"/>
      <c r="J144" s="22"/>
      <c r="L144" s="22" t="s">
        <v>22</v>
      </c>
      <c r="O144" s="48" t="str">
        <f>E144</f>
        <v xml:space="preserve">مقدمة لأسر بحث 2012:
قام الجهاز المركزي للتعبئة العامة والإحصاء، بالتعاون مع منتدى البحوث الاقتصادية، في عام 2012 بعمل بحث ميداني ناجح عن سوق العمل فى جمهورية مصر العربية، باستخدام عينة عشوائية. يستهدف البحث تحليل خصائص سوق العمل المصري. وقد كانت أسرتكم ضمن العينة العشوائية في عام 2012. نقوم حالياً في عام 2018 بزيارة تتبعية لنفس الأسر التي زرناها في البحث السابق، بالإضافة إلى عينة جديدة. ذلك لنتمكن من متابعة تطورات سوق العمل، والوصول إلى أهم السياسات لتحسين حالة العمل والعمالة في مصر. وعليه فإن تعاونكم معنا أساسي في إنجاح هذا البحث. رجاء العلم أن البيانات الشخصية الخاصة بكم ستبقى سرية بموجب القانون، وأن البيانات المقدمة لن تستخدم إلا لأغراض البحث العلمي. 
</v>
      </c>
      <c r="P144" s="85" t="str">
        <f>B144</f>
        <v>An Introduction to Households from ELMPS 2012:
The Central Agency for Public Mobilization and Statistics, in co-operation with the Economic Research Forum has successfully conducted in 2012 a labor market survey using a random sample in the Arab Republic of Egypt. This survey aimed at analyzing the characteristics of the Egyptian labor market. Your household was part of that random sample in 2012. Currently, in 2018, we are carrying out a follow-up survey to the same households that we have interviewed in 2012, in addition to a new refresher sample to be able to analyze the evolution of the labor market in Egypt over time and hence develop relevant research and policies to improve working and workers’ conditions in Egypt. Your co-operation would therefore be crucial to the success of this survey. Please note that your personal information will remain confidential by force of law and that the information provided is exclusively for scientific research purposes.</v>
      </c>
      <c r="S144" s="63"/>
      <c r="Y144" s="19" t="b">
        <v>1</v>
      </c>
    </row>
    <row r="145" spans="1:25">
      <c r="G145" s="48"/>
      <c r="I145" s="40"/>
      <c r="J145" s="66" t="s">
        <v>24</v>
      </c>
      <c r="L145" s="19"/>
      <c r="S145" s="63"/>
    </row>
    <row r="146" spans="1:25">
      <c r="G146" s="48"/>
      <c r="I146" s="40"/>
      <c r="J146" s="66" t="s">
        <v>23</v>
      </c>
      <c r="K146" s="19" t="str">
        <f>CONCATENATE("data('",N7,"')===",CHAR(34),"yes",CHAR(34), "&amp;&amp;", K141)</f>
        <v>data('q10')==="yes"&amp;&amp;(selected(data('q113'), '1') || selected(data('q115'), '1') || selected(data('q117'), '1'))</v>
      </c>
      <c r="S146" s="63"/>
    </row>
    <row r="147" spans="1:25" ht="409.5">
      <c r="B147" s="85" t="s">
        <v>369</v>
      </c>
      <c r="E147" s="407" t="s">
        <v>1076</v>
      </c>
      <c r="G147" s="48"/>
      <c r="I147" s="40"/>
      <c r="J147" s="22"/>
      <c r="L147" s="22" t="s">
        <v>22</v>
      </c>
      <c r="O147" s="48" t="str">
        <f>E147</f>
        <v xml:space="preserve">مقدمة لأسر العينة الجديدة:
يقوم الجهاز المركزي للتعبئة العامة والإحصاء، بالتعاون مع منتدى البحوث الاقتصادية، بإجراء بحث ميداني لسوق العمل في جمهورية مصر العربية، باستخدام عينة عشوائية. وقد كانت أسرتكم ضمن العينة العشوائية التى اختيرت للاشتراك في هذا البحث، الذى يهدف إلى متابعة تطورات سوق العمل، والوصول إلى أهم السياسات لتحسين حالة العمل والعمالة في مصر. وعليه فإن تعاونكم معنا أساسي في إنجاح هذا البحث. رجاء العلم أن البيانات الشخصية الخاصة بكم ستبقى سرية بموجب القانون، وأن البيانات المقدمة لن تستخدم إلا لأغراض البحث العلمي. </v>
      </c>
      <c r="P147" s="85" t="str">
        <f>B147</f>
        <v>An Introduction to New Sample’s Households:
The Central Agency for Public Mobilization and Statistics, in co-operation with the Economic Research Forum is carrying out a labor market survey using a random sample 
in the Arab Republic of Egypt. Your household was selected within this random sample to participate in the survey. This survey aims at analyzing the evolution of the labor market in Egypt over time and hence develop relevant research and policies to improve working and workers’ conditions in Egypt. Your co-operation would therefore be crucial 
to the success of this survey. Please note that your personal information will remain confidential by force of law and that the information provided is exclusively for scientific research purposes.</v>
      </c>
      <c r="S147" s="63"/>
      <c r="Y147" s="19" t="b">
        <v>1</v>
      </c>
    </row>
    <row r="148" spans="1:25">
      <c r="G148" s="48"/>
      <c r="I148" s="40"/>
      <c r="J148" s="66" t="s">
        <v>24</v>
      </c>
      <c r="S148" s="63"/>
    </row>
    <row r="149" spans="1:25">
      <c r="G149" s="48"/>
      <c r="I149" s="40"/>
      <c r="J149" s="66" t="s">
        <v>23</v>
      </c>
      <c r="K149" s="19" t="str">
        <f>K141</f>
        <v>(selected(data('q113'), '1') || selected(data('q115'), '1') || selected(data('q117'), '1'))</v>
      </c>
      <c r="S149" s="63"/>
    </row>
    <row r="150" spans="1:25" ht="330">
      <c r="B150" s="31" t="s">
        <v>370</v>
      </c>
      <c r="E150" s="407" t="s">
        <v>1221</v>
      </c>
      <c r="G150" s="48"/>
      <c r="I150" s="40"/>
      <c r="L150" s="22" t="s">
        <v>22</v>
      </c>
      <c r="O150" s="48" t="str">
        <f>E150</f>
        <v>لجميع الأسر:
إذا وافقت على المشاركة في هذا البحث، فإننا سنقوم بطرح أسئلة خاصة بتعليمك – خبرتك العملية - الهجرة والعمل في الخارج – عمل المرأة - الدخل وكافة الأنشطة الاقتصادية الأخرى. وقد تستغرق المقابلة ساعتين أو أكثر وقد تحتاج الى أكثر من زيارة.</v>
      </c>
      <c r="P150" s="85" t="str">
        <f>B150</f>
        <v xml:space="preserve">
To All Households:
If you agree to participate in the survey, we shall be asking you questions about your education – work experience – migration and work abroad – female’s employment – income and all other economic activities. The interview will take about 2 hours and might need more than one visit.</v>
      </c>
      <c r="S150" s="63"/>
      <c r="Y150" s="19" t="b">
        <v>1</v>
      </c>
    </row>
    <row r="151" spans="1:25" ht="60">
      <c r="A151" s="19" t="str">
        <f>CONCATENATE("q",I151)</f>
        <v>q118</v>
      </c>
      <c r="B151" s="31" t="s">
        <v>372</v>
      </c>
      <c r="C151" s="31"/>
      <c r="D151" s="31" t="str">
        <f>CONCATENATE(INDEX(choices!D:D,MATCH(M151,choices!A:A,0)),"
",IF(M151=INDEX(choices!A:A,MATCH(M151,choices!A:A,0)+1),INDEX(choices!D:D,MATCH(M151,choices!A:A,0)+1),""),IF(M151=INDEX(choices!A:A,MATCH(M151,choices!A:A,0)+1), "
",""),IF(M151=INDEX(choices!A:A,MATCH(M151,choices!A:A,0)+2),INDEX(choices!D:D,MATCH(M151,choices!A:A,0)+2),""),IF(M151=INDEX(choices!A:A,MATCH(M151,choices!A:A,0)+2), "
",""),IF(M151=INDEX(choices!A:A,MATCH(M151,choices!A:A,0)+3),INDEX(choices!D:D,MATCH(M151,choices!A:A,0)+3),""),IF(M151=INDEX(choices!A:A,MATCH(M151,choices!A:A,0)+3), "
",""),IF(M151=INDEX(choices!A:A,MATCH(M151,choices!A:A,0)+4),INDEX(choices!D:D,MATCH(M151,choices!A:A,0)+4),""),IF(M151=INDEX(choices!A:A,MATCH(M151,choices!A:A,0)+4), "
",""),IF(M151=INDEX(choices!A:A,MATCH(M151,choices!A:A,0)+5),INDEX(choices!D:D,MATCH(M151,choices!A:A,0)+5),""),IF(M151=INDEX(choices!A:A,MATCH(M151,choices!A:A,0)+5), "
",""),IF(M151=INDEX(choices!A:A,MATCH(M151,choices!A:A,0)+6),INDEX(choices!D:D,MATCH(M151,choices!A:A,0)+6),""),IF(M151=INDEX(choices!A:A,MATCH(M151,choices!A:A,0)+6), "
",""),IF(M151=INDEX(choices!A:A,MATCH(M151,choices!A:A,0)+7),INDEX(choices!D:D,MATCH(M151,choices!A:A,0)+7),""),IF(M151=INDEX(choices!A:A,MATCH(M151,choices!A:A,0)+7), "
",""),IF(M151=INDEX(choices!A:A,MATCH(M151,choices!A:A,0)+8),INDEX(choices!D:D,MATCH(M151,choices!A:A,0)+8),""),IF(M151=INDEX(choices!A:A,MATCH(M151,choices!A:A,0)+8), "
",""),IF(M151=INDEX(choices!A:A,MATCH(M151,choices!A:A,0)+9),INDEX(choices!D:D,MATCH(M151,choices!A:A,0)+9),""),IF(M151=INDEX(choices!A:A,MATCH(M151,choices!A:A,0)+9), "
",""),IF(M151=INDEX(choices!A:A,MATCH(M151,choices!A:A,0)+10),INDEX(choices!D:D,MATCH(M151,choices!A:A,0)+10),""),IF(M151=INDEX(choices!A:A,MATCH(M151,choices!A:A,0)+10), "
",""),IF(M151=INDEX(choices!A:A,MATCH(M151,choices!A:A,0)+11),INDEX(choices!D:D,MATCH(M151,choices!A:A,0)+11),""),IF(M151=INDEX(choices!A:A,MATCH(M151,choices!A:A,0)+11), "
",""),IF(M151=INDEX(choices!A:A,MATCH(M151,choices!A:A,0)+12),INDEX(choices!D:D,MATCH(M151,choices!A:A,0)+12),""),IF(M151=INDEX(choices!A:A,MATCH(M151,choices!A:A,0)+12), "
",""),IF(M151=INDEX(choices!A:A,MATCH(M151,choices!A:A,0)+13),INDEX(choices!D:D,MATCH(M151,choices!A:A,0)+13),""),IF(M151=INDEX(choices!A:A,MATCH(M151,choices!A:A,0)+13), "
",""),IF(M151=INDEX(choices!A:A,MATCH(M151,choices!A:A,0)+14),INDEX(choices!D:D,MATCH(M151,choices!A:A,0)+14),""),IF(M151=INDEX(choices!A:A,MATCH(M151,choices!A:A,0)+14), "
",""),IF(M151=INDEX(choices!A:A,MATCH(M151,choices!A:A,0)+15),INDEX(choices!D:D,MATCH(M151,choices!A:A,0)+15),""),IF(M151=INDEX(choices!A:A,MATCH(M151,choices!A:A,0)+15), "
",""),IF(M151=INDEX(choices!A:A,MATCH(M151,choices!A:A,0)+16),INDEX(choices!D:D,MATCH(M151,choices!A:A,0)+16),""),IF(M151=INDEX(choices!A:A,MATCH(M151,choices!A:A,0)+16), "
",""),IF(M151=INDEX(choices!A:A,MATCH(M151,choices!A:A,0)+17),INDEX(choices!D:D,MATCH(M151,choices!A:A,0)+17),""),IF(M151=INDEX(choices!A:A,MATCH(M151,choices!A:A,0)+17), "
",""),IF(M151=INDEX(choices!A:A,MATCH(M151,choices!A:A,0)+18),INDEX(choices!D:D,MATCH(M151,choices!A:A,0)+18),""),IF(M151=INDEX(choices!A:A,MATCH(M151,choices!A:A,0)+18), "
",""),IF(M151=INDEX(choices!A:A,MATCH(M151,choices!A:A,0)+19),INDEX(choices!D:D,MATCH(M151,choices!A:A,0)+19),""),IF(M151=INDEX(choices!A:A,MATCH(M151,choices!A:A,0)+19), "
",""),IF(M151=INDEX(choices!A:A,MATCH(M151,choices!A:A,0)+20),INDEX(choices!D:D,MATCH(M151,choices!A:A,0)+20),""),IF(M151=INDEX(choices!A:A,MATCH(M151,choices!A:A,0)+20), "
",""))</f>
        <v xml:space="preserve">1. Consent
2. Do not consent
</v>
      </c>
      <c r="E151" s="407" t="s">
        <v>1075</v>
      </c>
      <c r="G151" s="48" t="str">
        <f>CONCATENATE(INDEX(choices!C:C,MATCH(M151,choices!A:A,0)),"
",IF(M151=INDEX(choices!A:A,MATCH(M151,choices!A:A,0)+1),INDEX(choices!C:C,MATCH(M151,choices!A:A,0)+1),""),IF(M151=INDEX(choices!A:A,MATCH(M151,choices!A:A,0)+1), "
",""),IF(M151=INDEX(choices!A:A,MATCH(M151,choices!A:A,0)+2),INDEX(choices!C:C,MATCH(M151,choices!A:A,0)+2),""),IF(M151=INDEX(choices!A:A,MATCH(M151,choices!A:A,0)+2), "
",""),IF(M151=INDEX(choices!A:A,MATCH(M151,choices!A:A,0)+3),INDEX(choices!C:C,MATCH(M151,choices!A:A,0)+3),""),IF(M151=INDEX(choices!A:A,MATCH(M151,choices!A:A,0)+3), "
",""),IF(M151=INDEX(choices!A:A,MATCH(M151,choices!A:A,0)+4),INDEX(choices!C:C,MATCH(M151,choices!A:A,0)+4),""),IF(M151=INDEX(choices!A:A,MATCH(M151,choices!A:A,0)+4), "
",""),IF(M151=INDEX(choices!A:A,MATCH(M151,choices!A:A,0)+5),INDEX(choices!C:C,MATCH(M151,choices!A:A,0)+5),""),IF(M151=INDEX(choices!A:A,MATCH(M151,choices!A:A,0)+5), "
",""),IF(M151=INDEX(choices!A:A,MATCH(M151,choices!A:A,0)+6),INDEX(choices!C:C,MATCH(M151,choices!A:A,0)+6),""),IF(M151=INDEX(choices!A:A,MATCH(M151,choices!A:A,0)+6), "
",""),IF(M151=INDEX(choices!A:A,MATCH(M151,choices!A:A,0)+7),INDEX(choices!C:C,MATCH(M151,choices!A:A,0)+7),""),IF(M151=INDEX(choices!A:A,MATCH(M151,choices!A:A,0)+7), "
",""),IF(M151=INDEX(choices!A:A,MATCH(M151,choices!A:A,0)+8),INDEX(choices!C:C,MATCH(M151,choices!A:A,0)+8),""),IF(M151=INDEX(choices!A:A,MATCH(M151,choices!A:A,0)+8), "
",""),IF(M151=INDEX(choices!A:A,MATCH(M151,choices!A:A,0)+9),INDEX(choices!C:C,MATCH(M151,choices!A:A,0)+9),""),IF(M151=INDEX(choices!A:A,MATCH(M151,choices!A:A,0)+9), "
",""),IF(M151=INDEX(choices!A:A,MATCH(M151,choices!A:A,0)+10),INDEX(choices!C:C,MATCH(M151,choices!A:A,0)+10),""),IF(M151=INDEX(choices!A:A,MATCH(M151,choices!A:A,0)+10), "
",""),IF(M151=INDEX(choices!A:A,MATCH(M151,choices!A:A,0)+11),INDEX(choices!C:C,MATCH(M151,choices!A:A,0)+11),""),IF(M151=INDEX(choices!A:A,MATCH(M151,choices!A:A,0)+11), "
",""),IF(M151=INDEX(choices!A:A,MATCH(M151,choices!A:A,0)+12),INDEX(choices!C:C,MATCH(M151,choices!A:A,0)+12),""),IF(M151=INDEX(choices!A:A,MATCH(M151,choices!A:A,0)+12), "
",""),IF(M151=INDEX(choices!A:A,MATCH(M151,choices!A:A,0)+13),INDEX(choices!C:C,MATCH(M151,choices!A:A,0)+13),""),IF(M151=INDEX(choices!A:A,MATCH(M151,choices!A:A,0)+13), "
",""),IF(M151=INDEX(choices!A:A,MATCH(M151,choices!A:A,0)+14),INDEX(choices!C:C,MATCH(M151,choices!A:A,0)+14),""),IF(M151=INDEX(choices!A:A,MATCH(M151,choices!A:A,0)+14), "
",""),IF(M151=INDEX(choices!A:A,MATCH(M151,choices!A:A,0)+15),INDEX(choices!C:C,MATCH(M151,choices!A:A,0)+15),""),IF(M151=INDEX(choices!A:A,MATCH(M151,choices!A:A,0)+15), "
",""),IF(M151=INDEX(choices!A:A,MATCH(M151,choices!A:A,0)+16),INDEX(choices!C:C,MATCH(M151,choices!A:A,0)+16),""),IF(M151=INDEX(choices!A:A,MATCH(M151,choices!A:A,0)+16), "
",""),IF(M151=INDEX(choices!A:A,MATCH(M151,choices!A:A,0)+17),INDEX(choices!C:C,MATCH(M151,choices!A:A,0)+17),""),IF(M151=INDEX(choices!A:A,MATCH(M151,choices!A:A,0)+17), "
",""),IF(M151=INDEX(choices!A:A,MATCH(M151,choices!A:A,0)+18),INDEX(choices!C:C,MATCH(M151,choices!A:A,0)+18),""),IF(M151=INDEX(choices!A:A,MATCH(M151,choices!A:A,0)+18), "
",""),IF(M151=INDEX(choices!A:A,MATCH(M151,choices!A:A,0)+19),INDEX(choices!C:C,MATCH(M151,choices!A:A,0)+19),""),IF(M151=INDEX(choices!A:A,MATCH(M151,choices!A:A,0)+19), "
",""),IF(M151=INDEX(choices!A:A,MATCH(M151,choices!A:A,0)+20),INDEX(choices!C:C,MATCH(M151,choices!A:A,0)+20),""),IF(M151=INDEX(choices!A:A,MATCH(M151,choices!A:A,0)+20), "
","")," ")</f>
        <v xml:space="preserve">1. موافق
2. غير موافق
 </v>
      </c>
      <c r="H151" s="48" t="str">
        <f>CONCATENATE(J156," ", SUBSTITUTE(SUBSTITUTE(SUBSTITUTE(SUBSTITUTE(SUBSTITUTE(SUBSTITUTE(SUBSTITUTE(K156,",","="),"selected",""),"data",""),"||"," or "),")",""),"(",""),"'",""),"--&gt;",L160)</f>
        <v>if q118= 2--&gt;finalize</v>
      </c>
      <c r="I151" s="40">
        <f>I132+1</f>
        <v>118</v>
      </c>
      <c r="J151" s="16"/>
      <c r="K151" s="16"/>
      <c r="L151" s="22" t="s">
        <v>18</v>
      </c>
      <c r="M151" s="19" t="s">
        <v>185</v>
      </c>
      <c r="N151" s="19" t="str">
        <f>CONCATENATE("q",I151)</f>
        <v>q118</v>
      </c>
      <c r="O151" s="48" t="str">
        <f>CONCATENATE(I151,". ",E151, " ")</f>
        <v xml:space="preserve">118. نرجو قبول دعوتنا للمشاركة في هذا البحث. </v>
      </c>
      <c r="P151" s="85" t="str">
        <f>CONCATENATE(I151, ". ",B151)</f>
        <v>118. Kindly accept our invitation to participate in the survey.</v>
      </c>
      <c r="S151" s="63" t="str">
        <f>K149</f>
        <v>(selected(data('q113'), '1') || selected(data('q115'), '1') || selected(data('q117'), '1'))</v>
      </c>
      <c r="Y151" s="16"/>
    </row>
    <row r="152" spans="1:25" ht="105">
      <c r="A152" s="19"/>
      <c r="B152" s="31"/>
      <c r="C152" s="31"/>
      <c r="D152" s="31"/>
      <c r="G152" s="407"/>
      <c r="H152" s="407"/>
      <c r="I152" s="406"/>
      <c r="J152" s="16"/>
      <c r="K152" s="16"/>
      <c r="L152" s="405" t="s">
        <v>188</v>
      </c>
      <c r="N152" s="276" t="s">
        <v>1500</v>
      </c>
      <c r="O152" s="457"/>
      <c r="P152" s="457"/>
      <c r="Q152" s="458"/>
      <c r="R152" s="457"/>
      <c r="S152" s="100"/>
      <c r="T152" s="100" t="str">
        <f>CONCATENATE("(data('", N152,"') === null || data('",N152,"') === undefined) ? now() : data('",N152,"')")</f>
        <v>(data('zStart_Date_and_Time') === null || data('zStart_Date_and_Time') === undefined) ? now() : data('zStart_Date_and_Time')</v>
      </c>
      <c r="Y152" s="300" t="b">
        <v>1</v>
      </c>
    </row>
    <row r="153" spans="1:25" ht="41.1" customHeight="1">
      <c r="A153" s="19"/>
      <c r="B153" s="31"/>
      <c r="C153" s="31"/>
      <c r="D153" s="31"/>
      <c r="G153" s="48"/>
      <c r="I153" s="40"/>
      <c r="J153" s="90" t="s">
        <v>24</v>
      </c>
      <c r="S153" s="63"/>
      <c r="Y153" s="16"/>
    </row>
    <row r="154" spans="1:25" ht="41.1" customHeight="1">
      <c r="A154" s="19"/>
      <c r="B154" s="31"/>
      <c r="C154" s="31"/>
      <c r="D154" s="31"/>
      <c r="G154" s="48"/>
      <c r="I154" s="40"/>
      <c r="J154" s="16" t="s">
        <v>21</v>
      </c>
      <c r="K154" s="16"/>
      <c r="S154" s="63"/>
      <c r="Y154" s="16"/>
    </row>
    <row r="155" spans="1:25" ht="41.1" customHeight="1">
      <c r="A155" s="19"/>
      <c r="B155" s="31"/>
      <c r="C155" s="31"/>
      <c r="D155" s="31"/>
      <c r="G155" s="407"/>
      <c r="H155" s="407"/>
      <c r="I155" s="406"/>
      <c r="J155" s="89" t="s">
        <v>24</v>
      </c>
      <c r="K155" s="16"/>
      <c r="L155" s="405"/>
      <c r="O155" s="407"/>
      <c r="P155" s="410"/>
      <c r="S155" s="63"/>
      <c r="Y155" s="16"/>
    </row>
    <row r="156" spans="1:25">
      <c r="G156" s="48"/>
      <c r="I156" s="40"/>
      <c r="J156" s="89" t="s">
        <v>23</v>
      </c>
      <c r="K156" s="16" t="str">
        <f>CONCATENATE("selected(data('",N151,"'), '2')")</f>
        <v>selected(data('q118'), '2')</v>
      </c>
      <c r="S156" s="63"/>
      <c r="Y156" s="16"/>
    </row>
    <row r="157" spans="1:25">
      <c r="G157" s="48"/>
      <c r="I157" s="40"/>
      <c r="J157" s="89"/>
      <c r="K157" s="16"/>
      <c r="L157" s="23" t="s">
        <v>188</v>
      </c>
      <c r="M157" s="300"/>
      <c r="N157" s="300" t="s">
        <v>399</v>
      </c>
      <c r="O157" s="63"/>
      <c r="P157" s="299"/>
      <c r="Q157" s="63"/>
      <c r="R157" s="63"/>
      <c r="S157" s="63"/>
      <c r="T157" s="300" t="s">
        <v>400</v>
      </c>
      <c r="U157" s="300"/>
      <c r="W157" s="300"/>
      <c r="X157" s="300"/>
      <c r="Y157" s="300" t="b">
        <v>1</v>
      </c>
    </row>
    <row r="158" spans="1:25">
      <c r="G158" s="48"/>
      <c r="I158" s="40"/>
      <c r="J158" s="89"/>
      <c r="K158" s="16"/>
      <c r="S158" s="63"/>
      <c r="Y158" s="16"/>
    </row>
    <row r="159" spans="1:25">
      <c r="B159" s="85" t="s">
        <v>166</v>
      </c>
      <c r="E159" s="407" t="s">
        <v>165</v>
      </c>
      <c r="G159" s="48"/>
      <c r="I159" s="40"/>
      <c r="J159" s="16"/>
      <c r="K159" s="16"/>
      <c r="L159" s="22" t="s">
        <v>22</v>
      </c>
      <c r="O159" s="48" t="str">
        <f>E159</f>
        <v>نهاية الزيارة</v>
      </c>
      <c r="P159" s="85" t="str">
        <f>B159</f>
        <v>End Visit</v>
      </c>
      <c r="S159" s="63"/>
      <c r="Y159" s="19" t="b">
        <v>1</v>
      </c>
    </row>
    <row r="160" spans="1:25">
      <c r="A160" s="53"/>
      <c r="B160" s="85" t="s">
        <v>157</v>
      </c>
      <c r="C160" s="78"/>
      <c r="D160" s="78"/>
      <c r="E160" s="407" t="s">
        <v>1066</v>
      </c>
      <c r="G160" s="48"/>
      <c r="I160" s="40"/>
      <c r="J160" s="16"/>
      <c r="K160" s="16"/>
      <c r="L160" s="22" t="s">
        <v>366</v>
      </c>
      <c r="O160" s="48" t="str">
        <f>E160</f>
        <v>حفظ الاستمارة</v>
      </c>
      <c r="P160" s="85" t="str">
        <f>B160</f>
        <v>Save form</v>
      </c>
      <c r="S160" s="63"/>
      <c r="Y160" s="19" t="b">
        <v>1</v>
      </c>
    </row>
    <row r="161" spans="1:25">
      <c r="G161" s="48"/>
      <c r="H161" s="76"/>
      <c r="I161" s="40"/>
      <c r="J161" s="89" t="s">
        <v>24</v>
      </c>
      <c r="K161" s="16"/>
    </row>
    <row r="162" spans="1:25">
      <c r="G162" s="48"/>
      <c r="H162" s="76"/>
      <c r="I162" s="40"/>
      <c r="J162" s="89" t="s">
        <v>23</v>
      </c>
      <c r="K162" s="16" t="str">
        <f>CONCATENATE("selected(data('",N151,"'), '1')")</f>
        <v>selected(data('q118'), '1')</v>
      </c>
    </row>
    <row r="163" spans="1:25">
      <c r="G163" s="48"/>
      <c r="H163" s="76"/>
      <c r="I163" s="40"/>
      <c r="J163" s="89"/>
      <c r="K163" s="16"/>
      <c r="L163" s="23" t="s">
        <v>188</v>
      </c>
      <c r="M163" s="300"/>
      <c r="N163" s="300" t="s">
        <v>399</v>
      </c>
      <c r="O163" s="63"/>
      <c r="P163" s="299"/>
      <c r="Q163" s="63"/>
      <c r="R163" s="63"/>
      <c r="S163" s="63"/>
      <c r="T163" s="300" t="s">
        <v>401</v>
      </c>
      <c r="U163" s="300"/>
      <c r="W163" s="300"/>
      <c r="X163" s="300"/>
      <c r="Y163" s="300" t="b">
        <v>1</v>
      </c>
    </row>
    <row r="164" spans="1:25" ht="30">
      <c r="A164" s="19" t="str">
        <f>CONCATENATE("q",I164)</f>
        <v>q119</v>
      </c>
      <c r="B164" s="85" t="s">
        <v>371</v>
      </c>
      <c r="E164" s="407" t="s">
        <v>1077</v>
      </c>
      <c r="G164" s="48"/>
      <c r="H164" s="333"/>
      <c r="I164" s="40">
        <f>I151+1</f>
        <v>119</v>
      </c>
      <c r="J164" s="16"/>
      <c r="K164" s="16"/>
      <c r="L164" s="22" t="s">
        <v>8</v>
      </c>
      <c r="N164" s="19" t="str">
        <f>CONCATENATE("q",I164)</f>
        <v>q119</v>
      </c>
      <c r="O164" s="48" t="str">
        <f>CONCATENATE(I164,". ",E164, " ")</f>
        <v xml:space="preserve">119.  اسم الباحث للتحقق من الموافقة </v>
      </c>
      <c r="P164" s="85" t="str">
        <f>CONCATENATE(I164, ". ",B164)</f>
        <v xml:space="preserve">119. Interviewer Name to verify consent </v>
      </c>
      <c r="S164" s="63" t="str">
        <f>CONCATENATE("(data('",N163,"') == 1)")</f>
        <v>(data('valid_overall') == 1)</v>
      </c>
      <c r="W164" s="16"/>
      <c r="X164" s="16"/>
      <c r="Y164" s="19" t="b">
        <v>1</v>
      </c>
    </row>
    <row r="165" spans="1:25" ht="30">
      <c r="A165" s="19" t="str">
        <f>CONCATENATE("q",I165)</f>
        <v>q120</v>
      </c>
      <c r="B165" s="85" t="s">
        <v>318</v>
      </c>
      <c r="E165" s="407" t="s">
        <v>169</v>
      </c>
      <c r="G165" s="48"/>
      <c r="H165" s="48" t="str">
        <f>CONCATENATE("If able to record--&gt;",N172)</f>
        <v>If able to record--&gt;q122</v>
      </c>
      <c r="I165" s="40">
        <f>I164+1</f>
        <v>120</v>
      </c>
      <c r="J165" s="16"/>
      <c r="K165" s="16"/>
      <c r="L165" s="49" t="s">
        <v>168</v>
      </c>
      <c r="N165" s="19" t="str">
        <f>CONCATENATE("q",I165)</f>
        <v>q120</v>
      </c>
      <c r="O165" s="48" t="str">
        <f>CONCATENATE(I165,". ",E165, " ")</f>
        <v xml:space="preserve">120. GPS :   سجل الإحداثيات   </v>
      </c>
      <c r="P165" s="85" t="str">
        <f>CONCATENATE(I165, ". ",B165)</f>
        <v>120. GPS: Record GPS coordinates</v>
      </c>
      <c r="W165" s="16"/>
      <c r="X165" s="16"/>
      <c r="Y165" s="19" t="b">
        <v>1</v>
      </c>
    </row>
    <row r="166" spans="1:25">
      <c r="A166" s="19"/>
      <c r="B166" s="410"/>
      <c r="C166" s="407"/>
      <c r="D166" s="407"/>
      <c r="G166" s="407"/>
      <c r="H166" s="407"/>
      <c r="I166" s="406"/>
      <c r="J166" s="89" t="s">
        <v>24</v>
      </c>
      <c r="K166" s="16"/>
      <c r="L166" s="49"/>
      <c r="O166" s="407"/>
      <c r="P166" s="410"/>
      <c r="W166" s="16"/>
      <c r="X166" s="16"/>
    </row>
    <row r="167" spans="1:25">
      <c r="A167" s="19"/>
      <c r="G167" s="48"/>
      <c r="I167" s="40"/>
      <c r="J167" s="89" t="s">
        <v>23</v>
      </c>
      <c r="K167" s="49" t="str">
        <f>CONCATENATE("((data('",N165,".latitude') === null ) || (data('",N165,".latitude') === undefined )) &amp;&amp; ", K149)</f>
        <v>((data('q120.latitude') === null ) || (data('q120.latitude') === undefined )) &amp;&amp; (selected(data('q113'), '1') || selected(data('q115'), '1') || selected(data('q117'), '1'))</v>
      </c>
      <c r="L167" s="19"/>
      <c r="W167" s="16"/>
      <c r="X167" s="16"/>
    </row>
    <row r="168" spans="1:25" ht="105">
      <c r="A168" s="19" t="str">
        <f>CONCATENATE("q",I168)</f>
        <v>q121</v>
      </c>
      <c r="B168" s="85" t="s">
        <v>1217</v>
      </c>
      <c r="D168" s="19"/>
      <c r="E168" s="410" t="s">
        <v>1334</v>
      </c>
      <c r="G168" s="48"/>
      <c r="H168" s="76" t="str">
        <f>CONCATENATE("If ",N92,"=4 or ",N112,"=4 or ", N132," =4--&gt;",N186)</f>
        <v>If q113=4 or q115=4 or q117 =4--&gt;q123</v>
      </c>
      <c r="I168" s="40">
        <f>I165+1</f>
        <v>121</v>
      </c>
      <c r="L168" s="49" t="s">
        <v>18</v>
      </c>
      <c r="M168" s="19" t="s">
        <v>1594</v>
      </c>
      <c r="N168" s="19" t="str">
        <f>CONCATENATE("q",I168)</f>
        <v>q121</v>
      </c>
      <c r="O168" s="48" t="str">
        <f>CONCATENATE(I168,". ",E168, " ")</f>
        <v xml:space="preserve">121. التابلت غير قادر على تسجيل إحداثيات الموقع. يرجى المحاولة عدة مرات والخروج من المنزل قبل اللجوء إلى هذا الخيار. </v>
      </c>
      <c r="P168" s="85" t="str">
        <f>CONCATENATE(I168, ". ",B168)</f>
        <v xml:space="preserve">121. Tablet unable to record GPS. Please try multiple times and to go outside the house before choosing this option. </v>
      </c>
      <c r="S168" s="63" t="str">
        <f>CONCATENATE("(data('",N163,"') == 1) &amp;&amp; ",K167)</f>
        <v>(data('valid_overall') == 1) &amp;&amp; ((data('q120.latitude') === null ) || (data('q120.latitude') === undefined )) &amp;&amp; (selected(data('q113'), '1') || selected(data('q115'), '1') || selected(data('q117'), '1'))</v>
      </c>
      <c r="W168" s="16"/>
      <c r="X168" s="16"/>
      <c r="Y168" s="19" t="b">
        <v>1</v>
      </c>
    </row>
    <row r="169" spans="1:25">
      <c r="A169" s="19"/>
      <c r="G169" s="48"/>
      <c r="H169" s="76"/>
      <c r="I169" s="40"/>
      <c r="J169" s="88" t="s">
        <v>24</v>
      </c>
      <c r="L169" s="49"/>
      <c r="S169" s="63"/>
      <c r="W169" s="16"/>
      <c r="X169" s="16"/>
    </row>
    <row r="170" spans="1:25">
      <c r="A170" s="19"/>
      <c r="G170" s="48"/>
      <c r="H170" s="76"/>
      <c r="I170" s="40"/>
      <c r="J170" s="88" t="s">
        <v>23</v>
      </c>
      <c r="K170" s="19" t="str">
        <f>CONCATENATE("((selected(data('",N92,"'), '1') || selected(data('",N112,"'), '1') || selected(data('",N132,"'), '1')) &amp;&amp; (not(selected(data('",N92,"'), '4')) &amp;&amp; not(selected(data('",N112,"'), '4')) &amp;&amp; not(selected(data('",N92,"'), '5')) &amp;&amp; not(selected(data('",N112,"'), '5'))))")</f>
        <v>((selected(data('q113'), '1') || selected(data('q115'), '1') || selected(data('q117'), '1')) &amp;&amp; (not(selected(data('q113'), '4')) &amp;&amp; not(selected(data('q115'), '4')) &amp;&amp; not(selected(data('q113'), '5')) &amp;&amp; not(selected(data('q115'), '5'))))</v>
      </c>
      <c r="L170" s="49"/>
      <c r="S170" s="63"/>
      <c r="W170" s="16"/>
      <c r="X170" s="16"/>
    </row>
    <row r="171" spans="1:25">
      <c r="G171" s="48"/>
      <c r="H171" s="325"/>
      <c r="I171" s="40"/>
      <c r="J171" s="23" t="s">
        <v>20</v>
      </c>
      <c r="K171" s="50"/>
      <c r="W171" s="16"/>
      <c r="X171" s="16"/>
    </row>
    <row r="172" spans="1:25" ht="53.1" customHeight="1">
      <c r="A172" s="19" t="str">
        <f t="shared" ref="A172:A180" si="19">CONCATENATE("q",I172)</f>
        <v>q122</v>
      </c>
      <c r="B172" s="85" t="s">
        <v>373</v>
      </c>
      <c r="C172" s="31"/>
      <c r="D172" s="31" t="str">
        <f>CONCATENATE(INDEX(choices!D:D,MATCH(M172,choices!A:A,0)),"
",IF(M172=INDEX(choices!A:A,MATCH(M172,choices!A:A,0)+1),INDEX(choices!D:D,MATCH(M172,choices!A:A,0)+1),""),IF(M172=INDEX(choices!A:A,MATCH(M172,choices!A:A,0)+1), "
",""),IF(M172=INDEX(choices!A:A,MATCH(M172,choices!A:A,0)+2),INDEX(choices!D:D,MATCH(M172,choices!A:A,0)+2),""),IF(M172=INDEX(choices!A:A,MATCH(M172,choices!A:A,0)+2), "
",""),IF(M172=INDEX(choices!A:A,MATCH(M172,choices!A:A,0)+3),INDEX(choices!D:D,MATCH(M172,choices!A:A,0)+3),""),IF(M172=INDEX(choices!A:A,MATCH(M172,choices!A:A,0)+3), "
",""),IF(M172=INDEX(choices!A:A,MATCH(M172,choices!A:A,0)+4),INDEX(choices!D:D,MATCH(M172,choices!A:A,0)+4),""),IF(M172=INDEX(choices!A:A,MATCH(M172,choices!A:A,0)+4), "
",""),IF(M172=INDEX(choices!A:A,MATCH(M172,choices!A:A,0)+5),INDEX(choices!D:D,MATCH(M172,choices!A:A,0)+5),""),IF(M172=INDEX(choices!A:A,MATCH(M172,choices!A:A,0)+5), "
",""),IF(M172=INDEX(choices!A:A,MATCH(M172,choices!A:A,0)+6),INDEX(choices!D:D,MATCH(M172,choices!A:A,0)+6),""),IF(M172=INDEX(choices!A:A,MATCH(M172,choices!A:A,0)+6), "
",""),IF(M172=INDEX(choices!A:A,MATCH(M172,choices!A:A,0)+7),INDEX(choices!D:D,MATCH(M172,choices!A:A,0)+7),""),IF(M172=INDEX(choices!A:A,MATCH(M172,choices!A:A,0)+7), "
",""),IF(M172=INDEX(choices!A:A,MATCH(M172,choices!A:A,0)+8),INDEX(choices!D:D,MATCH(M172,choices!A:A,0)+8),""),IF(M172=INDEX(choices!A:A,MATCH(M172,choices!A:A,0)+8), "
",""),IF(M172=INDEX(choices!A:A,MATCH(M172,choices!A:A,0)+9),INDEX(choices!D:D,MATCH(M172,choices!A:A,0)+9),""),IF(M172=INDEX(choices!A:A,MATCH(M172,choices!A:A,0)+9), "
",""),IF(M172=INDEX(choices!A:A,MATCH(M172,choices!A:A,0)+10),INDEX(choices!D:D,MATCH(M172,choices!A:A,0)+10),""),IF(M172=INDEX(choices!A:A,MATCH(M172,choices!A:A,0)+10), "
",""),IF(M172=INDEX(choices!A:A,MATCH(M172,choices!A:A,0)+11),INDEX(choices!D:D,MATCH(M172,choices!A:A,0)+11),""),IF(M172=INDEX(choices!A:A,MATCH(M172,choices!A:A,0)+11), "
",""),IF(M172=INDEX(choices!A:A,MATCH(M172,choices!A:A,0)+12),INDEX(choices!D:D,MATCH(M172,choices!A:A,0)+12),""),IF(M172=INDEX(choices!A:A,MATCH(M172,choices!A:A,0)+12), "
",""),IF(M172=INDEX(choices!A:A,MATCH(M172,choices!A:A,0)+13),INDEX(choices!D:D,MATCH(M172,choices!A:A,0)+13),""),IF(M172=INDEX(choices!A:A,MATCH(M172,choices!A:A,0)+13), "
",""),IF(M172=INDEX(choices!A:A,MATCH(M172,choices!A:A,0)+14),INDEX(choices!D:D,MATCH(M172,choices!A:A,0)+14),""),IF(M172=INDEX(choices!A:A,MATCH(M172,choices!A:A,0)+14), "
",""),IF(M172=INDEX(choices!A:A,MATCH(M172,choices!A:A,0)+15),INDEX(choices!D:D,MATCH(M172,choices!A:A,0)+15),""),IF(M172=INDEX(choices!A:A,MATCH(M172,choices!A:A,0)+15), "
",""),IF(M172=INDEX(choices!A:A,MATCH(M172,choices!A:A,0)+16),INDEX(choices!D:D,MATCH(M172,choices!A:A,0)+16),""),IF(M172=INDEX(choices!A:A,MATCH(M172,choices!A:A,0)+16), "
",""),IF(M172=INDEX(choices!A:A,MATCH(M172,choices!A:A,0)+17),INDEX(choices!D:D,MATCH(M172,choices!A:A,0)+17),""),IF(M172=INDEX(choices!A:A,MATCH(M172,choices!A:A,0)+17), "
",""),IF(M172=INDEX(choices!A:A,MATCH(M172,choices!A:A,0)+18),INDEX(choices!D:D,MATCH(M172,choices!A:A,0)+18),""),IF(M172=INDEX(choices!A:A,MATCH(M172,choices!A:A,0)+18), "
",""),IF(M172=INDEX(choices!A:A,MATCH(M172,choices!A:A,0)+19),INDEX(choices!D:D,MATCH(M172,choices!A:A,0)+19),""),IF(M172=INDEX(choices!A:A,MATCH(M172,choices!A:A,0)+19), "
",""),IF(M172=INDEX(choices!A:A,MATCH(M172,choices!A:A,0)+20),INDEX(choices!D:D,MATCH(M172,choices!A:A,0)+20),""),IF(M172=INDEX(choices!A:A,MATCH(M172,choices!A:A,0)+20), "
",""))</f>
        <v xml:space="preserve">1. Yes
2. No
</v>
      </c>
      <c r="E172" s="407" t="s">
        <v>1078</v>
      </c>
      <c r="G172" s="48" t="str">
        <f>CONCATENATE(INDEX(choices!C:C,MATCH(M172,choices!A:A,0)),"
",IF(M172=INDEX(choices!A:A,MATCH(M172,choices!A:A,0)+1),INDEX(choices!C:C,MATCH(M172,choices!A:A,0)+1),""),IF(M172=INDEX(choices!A:A,MATCH(M172,choices!A:A,0)+1), "
",""),IF(M172=INDEX(choices!A:A,MATCH(M172,choices!A:A,0)+2),INDEX(choices!C:C,MATCH(M172,choices!A:A,0)+2),""),IF(M172=INDEX(choices!A:A,MATCH(M172,choices!A:A,0)+2), "
",""),IF(M172=INDEX(choices!A:A,MATCH(M172,choices!A:A,0)+3),INDEX(choices!C:C,MATCH(M172,choices!A:A,0)+3),""),IF(M172=INDEX(choices!A:A,MATCH(M172,choices!A:A,0)+3), "
",""),IF(M172=INDEX(choices!A:A,MATCH(M172,choices!A:A,0)+4),INDEX(choices!C:C,MATCH(M172,choices!A:A,0)+4),""),IF(M172=INDEX(choices!A:A,MATCH(M172,choices!A:A,0)+4), "
",""),IF(M172=INDEX(choices!A:A,MATCH(M172,choices!A:A,0)+5),INDEX(choices!C:C,MATCH(M172,choices!A:A,0)+5),""),IF(M172=INDEX(choices!A:A,MATCH(M172,choices!A:A,0)+5), "
",""),IF(M172=INDEX(choices!A:A,MATCH(M172,choices!A:A,0)+6),INDEX(choices!C:C,MATCH(M172,choices!A:A,0)+6),""),IF(M172=INDEX(choices!A:A,MATCH(M172,choices!A:A,0)+6), "
",""),IF(M172=INDEX(choices!A:A,MATCH(M172,choices!A:A,0)+7),INDEX(choices!C:C,MATCH(M172,choices!A:A,0)+7),""),IF(M172=INDEX(choices!A:A,MATCH(M172,choices!A:A,0)+7), "
",""),IF(M172=INDEX(choices!A:A,MATCH(M172,choices!A:A,0)+8),INDEX(choices!C:C,MATCH(M172,choices!A:A,0)+8),""),IF(M172=INDEX(choices!A:A,MATCH(M172,choices!A:A,0)+8), "
",""),IF(M172=INDEX(choices!A:A,MATCH(M172,choices!A:A,0)+9),INDEX(choices!C:C,MATCH(M172,choices!A:A,0)+9),""),IF(M172=INDEX(choices!A:A,MATCH(M172,choices!A:A,0)+9), "
",""),IF(M172=INDEX(choices!A:A,MATCH(M172,choices!A:A,0)+10),INDEX(choices!C:C,MATCH(M172,choices!A:A,0)+10),""),IF(M172=INDEX(choices!A:A,MATCH(M172,choices!A:A,0)+10), "
",""),IF(M172=INDEX(choices!A:A,MATCH(M172,choices!A:A,0)+11),INDEX(choices!C:C,MATCH(M172,choices!A:A,0)+11),""),IF(M172=INDEX(choices!A:A,MATCH(M172,choices!A:A,0)+11), "
",""),IF(M172=INDEX(choices!A:A,MATCH(M172,choices!A:A,0)+12),INDEX(choices!C:C,MATCH(M172,choices!A:A,0)+12),""),IF(M172=INDEX(choices!A:A,MATCH(M172,choices!A:A,0)+12), "
",""),IF(M172=INDEX(choices!A:A,MATCH(M172,choices!A:A,0)+13),INDEX(choices!C:C,MATCH(M172,choices!A:A,0)+13),""),IF(M172=INDEX(choices!A:A,MATCH(M172,choices!A:A,0)+13), "
",""),IF(M172=INDEX(choices!A:A,MATCH(M172,choices!A:A,0)+14),INDEX(choices!C:C,MATCH(M172,choices!A:A,0)+14),""),IF(M172=INDEX(choices!A:A,MATCH(M172,choices!A:A,0)+14), "
",""),IF(M172=INDEX(choices!A:A,MATCH(M172,choices!A:A,0)+15),INDEX(choices!C:C,MATCH(M172,choices!A:A,0)+15),""),IF(M172=INDEX(choices!A:A,MATCH(M172,choices!A:A,0)+15), "
",""),IF(M172=INDEX(choices!A:A,MATCH(M172,choices!A:A,0)+16),INDEX(choices!C:C,MATCH(M172,choices!A:A,0)+16),""),IF(M172=INDEX(choices!A:A,MATCH(M172,choices!A:A,0)+16), "
",""),IF(M172=INDEX(choices!A:A,MATCH(M172,choices!A:A,0)+17),INDEX(choices!C:C,MATCH(M172,choices!A:A,0)+17),""),IF(M172=INDEX(choices!A:A,MATCH(M172,choices!A:A,0)+17), "
",""),IF(M172=INDEX(choices!A:A,MATCH(M172,choices!A:A,0)+18),INDEX(choices!C:C,MATCH(M172,choices!A:A,0)+18),""),IF(M172=INDEX(choices!A:A,MATCH(M172,choices!A:A,0)+18), "
",""),IF(M172=INDEX(choices!A:A,MATCH(M172,choices!A:A,0)+19),INDEX(choices!C:C,MATCH(M172,choices!A:A,0)+19),""),IF(M172=INDEX(choices!A:A,MATCH(M172,choices!A:A,0)+19), "
",""),IF(M172=INDEX(choices!A:A,MATCH(M172,choices!A:A,0)+20),INDEX(choices!C:C,MATCH(M172,choices!A:A,0)+20),""),IF(M172=INDEX(choices!A:A,MATCH(M172,choices!A:A,0)+20), "
","")," ")</f>
        <v xml:space="preserve">1. نعم
2. لا
 </v>
      </c>
      <c r="H172" s="325"/>
      <c r="I172" s="40">
        <f>I168+1</f>
        <v>122</v>
      </c>
      <c r="J172" s="22"/>
      <c r="L172" s="23" t="s">
        <v>170</v>
      </c>
      <c r="M172" s="57" t="s">
        <v>17</v>
      </c>
      <c r="N172" s="19" t="str">
        <f>CONCATENATE("q",I172)</f>
        <v>q122</v>
      </c>
      <c r="O172" s="48" t="str">
        <f t="shared" ref="O172:O180" si="20">CONCATENATE(I172,". ",E172, " ")</f>
        <v xml:space="preserve">122. هل لدى الأسرة أي تحديثات على العنوان؟ </v>
      </c>
      <c r="P172" s="85" t="str">
        <f t="shared" ref="P172:P180" si="21">CONCATENATE(I172, ". ",B172)</f>
        <v>122. Does the household have updates?</v>
      </c>
      <c r="S172" s="31" t="str">
        <f>CONCATENATE("(data('",N163,"') == 1) &amp;&amp; ",K170)</f>
        <v>(data('valid_overall') == 1) &amp;&amp; ((selected(data('q113'), '1') || selected(data('q115'), '1') || selected(data('q117'), '1')) &amp;&amp; (not(selected(data('q113'), '4')) &amp;&amp; not(selected(data('q115'), '4')) &amp;&amp; not(selected(data('q113'), '5')) &amp;&amp; not(selected(data('q115'), '5'))))</v>
      </c>
    </row>
    <row r="173" spans="1:25" ht="30">
      <c r="A173" s="19" t="str">
        <f t="shared" si="19"/>
        <v>q122_1</v>
      </c>
      <c r="B173" s="85" t="str">
        <f>CONCATENATE("Governorate -- {{data.",N19,"}}")</f>
        <v>Governorate -- {{data.q101}}</v>
      </c>
      <c r="C173" s="76"/>
      <c r="D173" s="76"/>
      <c r="E173" s="408" t="str">
        <f>CONCATENATE("المحافظة --{{data.",N19,"}}")</f>
        <v>المحافظة --{{data.q101}}</v>
      </c>
      <c r="F173" s="408"/>
      <c r="G173" s="48"/>
      <c r="H173" s="48" t="s">
        <v>265</v>
      </c>
      <c r="I173" s="40" t="str">
        <f>CONCATENATE($I$172,"_1")</f>
        <v>122_1</v>
      </c>
      <c r="J173" s="22"/>
      <c r="L173" s="23" t="s">
        <v>22</v>
      </c>
      <c r="M173" s="16"/>
      <c r="O173" s="48" t="str">
        <f t="shared" si="20"/>
        <v xml:space="preserve">122_1. المحافظة --{{data.q101}} </v>
      </c>
      <c r="P173" s="85" t="str">
        <f t="shared" si="21"/>
        <v>122_1. Governorate -- {{data.q101}}</v>
      </c>
      <c r="Y173" s="19" t="b">
        <v>1</v>
      </c>
    </row>
    <row r="174" spans="1:25" ht="30">
      <c r="A174" s="19" t="str">
        <f t="shared" si="19"/>
        <v>q122_2</v>
      </c>
      <c r="B174" s="85" t="str">
        <f>CONCATENATE("City/Kism/Markaz -- {{data.",N20,"}}")</f>
        <v>City/Kism/Markaz -- {{data.q102}}</v>
      </c>
      <c r="C174" s="76"/>
      <c r="D174" s="76"/>
      <c r="E174" s="408" t="str">
        <f>CONCATENATE("قسم/مركز--{{data.",N20,"}} ")</f>
        <v xml:space="preserve">قسم/مركز--{{data.q102}} </v>
      </c>
      <c r="F174" s="408"/>
      <c r="G174" s="48"/>
      <c r="H174" s="48" t="s">
        <v>265</v>
      </c>
      <c r="I174" s="40" t="str">
        <f>CONCATENATE($I$172,"_2")</f>
        <v>122_2</v>
      </c>
      <c r="J174" s="22"/>
      <c r="L174" s="23" t="s">
        <v>22</v>
      </c>
      <c r="M174" s="16"/>
      <c r="O174" s="48" t="str">
        <f t="shared" si="20"/>
        <v xml:space="preserve">122_2. قسم/مركز--{{data.q102}}  </v>
      </c>
      <c r="P174" s="85" t="str">
        <f t="shared" si="21"/>
        <v>122_2. City/Kism/Markaz -- {{data.q102}}</v>
      </c>
      <c r="Y174" s="19" t="b">
        <v>1</v>
      </c>
    </row>
    <row r="175" spans="1:25" ht="30">
      <c r="A175" s="19" t="str">
        <f t="shared" si="19"/>
        <v>q122_3</v>
      </c>
      <c r="B175" s="85" t="str">
        <f>CONCATENATE("Shyakha/Village -- {{data.",N21,"}}")</f>
        <v>Shyakha/Village -- {{data.q103}}</v>
      </c>
      <c r="C175" s="76"/>
      <c r="D175" s="76"/>
      <c r="E175" s="408" t="str">
        <f>CONCATENATE("شياخة \ قرية--{{data.",N21,"}} ")</f>
        <v xml:space="preserve">شياخة \ قرية--{{data.q103}} </v>
      </c>
      <c r="F175" s="408"/>
      <c r="G175" s="48"/>
      <c r="H175" s="48" t="s">
        <v>265</v>
      </c>
      <c r="I175" s="40" t="str">
        <f>CONCATENATE($I$172,"_3")</f>
        <v>122_3</v>
      </c>
      <c r="J175" s="22"/>
      <c r="L175" s="23" t="s">
        <v>22</v>
      </c>
      <c r="M175" s="16"/>
      <c r="O175" s="48" t="str">
        <f t="shared" si="20"/>
        <v xml:space="preserve">122_3. شياخة \ قرية--{{data.q103}}  </v>
      </c>
      <c r="P175" s="85" t="str">
        <f t="shared" si="21"/>
        <v>122_3. Shyakha/Village -- {{data.q103}}</v>
      </c>
      <c r="Y175" s="19" t="b">
        <v>1</v>
      </c>
    </row>
    <row r="176" spans="1:25" ht="30">
      <c r="A176" s="19" t="str">
        <f t="shared" si="19"/>
        <v>q122_4</v>
      </c>
      <c r="B176" s="190" t="str">
        <f>CONCATENATE("Street name -- {{data.",N22,"}}")</f>
        <v>Street name -- {{data.q104}}</v>
      </c>
      <c r="C176" s="319"/>
      <c r="D176" s="319"/>
      <c r="E176" s="416" t="str">
        <f>CONCATENATE("اسم الشارع--{{data.",N22,"}}")</f>
        <v>اسم الشارع--{{data.q104}}</v>
      </c>
      <c r="F176" s="416"/>
      <c r="G176" s="48"/>
      <c r="H176" s="48" t="s">
        <v>265</v>
      </c>
      <c r="I176" s="40" t="str">
        <f>CONCATENATE($I$172,"_4")</f>
        <v>122_4</v>
      </c>
      <c r="J176" s="22"/>
      <c r="L176" s="23" t="s">
        <v>22</v>
      </c>
      <c r="M176" s="16"/>
      <c r="O176" s="48" t="str">
        <f t="shared" si="20"/>
        <v xml:space="preserve">122_4. اسم الشارع--{{data.q104}} </v>
      </c>
      <c r="P176" s="85" t="str">
        <f t="shared" si="21"/>
        <v>122_4. Street name -- {{data.q104}}</v>
      </c>
      <c r="Y176" s="19" t="b">
        <v>1</v>
      </c>
    </row>
    <row r="177" spans="1:25" ht="30">
      <c r="A177" s="19" t="str">
        <f t="shared" si="19"/>
        <v>q122_5</v>
      </c>
      <c r="B177" s="190" t="str">
        <f>CONCATENATE("Road number -- {{data.",N23,"}}")</f>
        <v>Road number -- {{data.q105}}</v>
      </c>
      <c r="C177" s="319"/>
      <c r="D177" s="319"/>
      <c r="E177" s="416" t="str">
        <f>CONCATENATE("رقم الشارع--{{data.",N23,"}}")</f>
        <v>رقم الشارع--{{data.q105}}</v>
      </c>
      <c r="F177" s="416"/>
      <c r="G177" s="48"/>
      <c r="H177" s="48" t="s">
        <v>265</v>
      </c>
      <c r="I177" s="40" t="str">
        <f>CONCATENATE($I$172,"_5")</f>
        <v>122_5</v>
      </c>
      <c r="J177" s="22"/>
      <c r="L177" s="23" t="s">
        <v>22</v>
      </c>
      <c r="M177" s="16"/>
      <c r="O177" s="48" t="str">
        <f t="shared" si="20"/>
        <v xml:space="preserve">122_5. رقم الشارع--{{data.q105}} </v>
      </c>
      <c r="P177" s="85" t="str">
        <f t="shared" si="21"/>
        <v>122_5. Road number -- {{data.q105}}</v>
      </c>
      <c r="Y177" s="19" t="b">
        <v>1</v>
      </c>
    </row>
    <row r="178" spans="1:25" ht="45">
      <c r="A178" s="19" t="str">
        <f t="shared" si="19"/>
        <v>q122_6</v>
      </c>
      <c r="B178" s="190" t="str">
        <f>CONCATENATE("Name of owner or house number -- {{data.",N24,"}}")</f>
        <v>Name of owner or house number -- {{data.q106}}</v>
      </c>
      <c r="C178" s="319"/>
      <c r="D178" s="319"/>
      <c r="E178" s="416" t="str">
        <f>CONCATENATE(" {{data.",N24,"}} --اسم المالك او رقم البيت")</f>
        <v> {{data.q106}} --اسم المالك او رقم البيت</v>
      </c>
      <c r="F178" s="416"/>
      <c r="G178" s="48"/>
      <c r="H178" s="48" t="s">
        <v>265</v>
      </c>
      <c r="I178" s="40" t="str">
        <f>CONCATENATE($I$172,"_6")</f>
        <v>122_6</v>
      </c>
      <c r="J178" s="22"/>
      <c r="L178" s="23" t="s">
        <v>22</v>
      </c>
      <c r="M178" s="16"/>
      <c r="O178" s="48" t="str">
        <f t="shared" si="20"/>
        <v xml:space="preserve">122_6.  {{data.q106}} --اسم المالك او رقم البيت </v>
      </c>
      <c r="P178" s="85" t="str">
        <f t="shared" si="21"/>
        <v>122_6. Name of owner or house number -- {{data.q106}}</v>
      </c>
      <c r="Y178" s="19" t="b">
        <v>1</v>
      </c>
    </row>
    <row r="179" spans="1:25" ht="60">
      <c r="A179" s="19" t="str">
        <f t="shared" si="19"/>
        <v>q122_7</v>
      </c>
      <c r="B179" s="190" t="str">
        <f>CONCATENATE("Dwelling type and position within the building --  {{data.",N25,"}}")</f>
        <v>Dwelling type and position within the building --  {{data.q107}}</v>
      </c>
      <c r="C179" s="319"/>
      <c r="D179" s="319"/>
      <c r="E179" s="416" t="str">
        <f>CONCATENATE("نوع المسكن وموقعه في المبنى","--{{data.",N25,"}} ")</f>
        <v xml:space="preserve">نوع المسكن وموقعه في المبنى--{{data.q107}} </v>
      </c>
      <c r="F179" s="416"/>
      <c r="G179" s="48"/>
      <c r="H179" s="48" t="s">
        <v>265</v>
      </c>
      <c r="I179" s="40" t="str">
        <f>CONCATENATE($I$172,"_7")</f>
        <v>122_7</v>
      </c>
      <c r="J179" s="22"/>
      <c r="L179" s="23" t="s">
        <v>22</v>
      </c>
      <c r="M179" s="16"/>
      <c r="O179" s="48" t="str">
        <f t="shared" si="20"/>
        <v xml:space="preserve">122_7. نوع المسكن وموقعه في المبنى--{{data.q107}}  </v>
      </c>
      <c r="P179" s="85" t="str">
        <f t="shared" si="21"/>
        <v>122_7. Dwelling type and position within the building --  {{data.q107}}</v>
      </c>
      <c r="Y179" s="19" t="b">
        <v>1</v>
      </c>
    </row>
    <row r="180" spans="1:25" ht="45">
      <c r="A180" s="19" t="str">
        <f t="shared" si="19"/>
        <v>q122_8</v>
      </c>
      <c r="B180" s="190" t="str">
        <f>CONCATENATE("Other notes to locate  -- {{data.",N27,"}}")</f>
        <v>Other notes to locate  -- {{data.q109}}</v>
      </c>
      <c r="C180" s="319"/>
      <c r="D180" s="319"/>
      <c r="E180" s="416" t="str">
        <f>CONCATENATE("معلومات أخرى --{{data.",N27,"}} ")</f>
        <v xml:space="preserve">معلومات أخرى --{{data.q109}} </v>
      </c>
      <c r="F180" s="416"/>
      <c r="G180" s="48"/>
      <c r="H180" s="48" t="s">
        <v>265</v>
      </c>
      <c r="I180" s="40" t="str">
        <f>CONCATENATE($I$172,"_8")</f>
        <v>122_8</v>
      </c>
      <c r="J180" s="22"/>
      <c r="L180" s="23" t="s">
        <v>22</v>
      </c>
      <c r="M180" s="16"/>
      <c r="O180" s="48" t="str">
        <f t="shared" si="20"/>
        <v xml:space="preserve">122_8. معلومات أخرى --{{data.q109}}  </v>
      </c>
      <c r="P180" s="85" t="str">
        <f t="shared" si="21"/>
        <v>122_8. Other notes to locate  -- {{data.q109}}</v>
      </c>
      <c r="Y180" s="19" t="b">
        <v>1</v>
      </c>
    </row>
    <row r="181" spans="1:25">
      <c r="G181" s="48"/>
      <c r="I181" s="40"/>
      <c r="J181" s="22" t="s">
        <v>21</v>
      </c>
    </row>
    <row r="182" spans="1:25">
      <c r="G182" s="48"/>
      <c r="I182" s="40"/>
      <c r="J182" s="88" t="s">
        <v>24</v>
      </c>
    </row>
    <row r="183" spans="1:25" ht="54" customHeight="1">
      <c r="G183" s="48"/>
      <c r="H183" s="48" t="str">
        <f>CONCATENATE("If ",N172,"=2 &amp; ",N7, "== yes--&gt;",N206, "
If ",N172,"=2 &amp;",N7, "== no--&gt;",N203)</f>
        <v>If q122=2 &amp; q10== yes--&gt;q132
If q122=2 &amp;q10== no--&gt;q131</v>
      </c>
      <c r="I183" s="40"/>
      <c r="J183" s="88" t="s">
        <v>23</v>
      </c>
      <c r="K183" s="19" t="str">
        <f>CONCATENATE("(selected(data('",N92,"'), '4') || selected(data('",N112,"'), '4') ||  (selected(data('",N172,"'), '1') &amp;&amp; (selected(data('",N92,"'), '1') || selected(data('",N112,"'), '1') || selected(data('",N132,"'), '1'))) || selected(data('",N92,"'), '5') || selected(data('",N112,"'), '5'))")</f>
        <v>(selected(data('q113'), '4') || selected(data('q115'), '4') ||  (selected(data('q122'), '1') &amp;&amp; (selected(data('q113'), '1') || selected(data('q115'), '1') || selected(data('q117'), '1'))) || selected(data('q113'), '5') || selected(data('q115'), '5'))</v>
      </c>
    </row>
    <row r="184" spans="1:25">
      <c r="G184" s="48"/>
      <c r="I184" s="40"/>
      <c r="J184" s="23" t="s">
        <v>172</v>
      </c>
      <c r="Y184" s="19" t="b">
        <v>1</v>
      </c>
    </row>
    <row r="185" spans="1:25" ht="45">
      <c r="A185" s="19"/>
      <c r="B185" s="85" t="s">
        <v>173</v>
      </c>
      <c r="E185" s="407" t="s">
        <v>215</v>
      </c>
      <c r="G185" s="48"/>
      <c r="I185" s="40"/>
      <c r="J185" s="23"/>
      <c r="L185" s="22" t="s">
        <v>22</v>
      </c>
      <c r="O185" s="48" t="str">
        <f>E185</f>
        <v>يرجى تحديث المعلومات التالية:</v>
      </c>
      <c r="P185" s="85" t="str">
        <f>B185</f>
        <v>Please update the following information:</v>
      </c>
      <c r="Y185" s="19" t="b">
        <v>1</v>
      </c>
    </row>
    <row r="186" spans="1:25" ht="138" customHeight="1">
      <c r="A186" s="19" t="str">
        <f>CONCATENATE("q",I186)</f>
        <v>q123</v>
      </c>
      <c r="B186" s="85" t="s">
        <v>319</v>
      </c>
      <c r="E186" s="407" t="s">
        <v>176</v>
      </c>
      <c r="G186" s="48"/>
      <c r="I186" s="40">
        <f>I172+1</f>
        <v>123</v>
      </c>
      <c r="J186" s="22"/>
      <c r="L186" s="22" t="s">
        <v>174</v>
      </c>
      <c r="M186" s="16" t="s">
        <v>175</v>
      </c>
      <c r="N186" s="19" t="str">
        <f>CONCATENATE("q",I186)</f>
        <v>q123</v>
      </c>
      <c r="O186" s="48" t="str">
        <f>CONCATENATE(I186,". ",E186, " ")</f>
        <v xml:space="preserve">123. حدد محافظة جديدة </v>
      </c>
      <c r="P186" s="85" t="str">
        <f>CONCATENATE(I186, ". ",B186)</f>
        <v>123. Select new Governorate:</v>
      </c>
      <c r="S186" s="31" t="str">
        <f>CONCATENATE(K183,  " &amp;&amp; (data('",N163,"') != 0)")</f>
        <v>(selected(data('q113'), '4') || selected(data('q115'), '4') ||  (selected(data('q122'), '1') &amp;&amp; (selected(data('q113'), '1') || selected(data('q115'), '1') || selected(data('q117'), '1'))) || selected(data('q113'), '5') || selected(data('q115'), '5')) &amp;&amp; (data('valid_overall') != 0)</v>
      </c>
      <c r="Y186" s="19" t="b">
        <v>1</v>
      </c>
    </row>
    <row r="187" spans="1:25" ht="138" customHeight="1">
      <c r="A187" s="19" t="str">
        <f>CONCATENATE("q",I187)</f>
        <v>q124</v>
      </c>
      <c r="B187" s="85" t="s">
        <v>320</v>
      </c>
      <c r="E187" s="407" t="s">
        <v>1492</v>
      </c>
      <c r="G187" s="48"/>
      <c r="I187" s="40">
        <f>I186+1</f>
        <v>124</v>
      </c>
      <c r="J187" s="22"/>
      <c r="L187" s="22" t="s">
        <v>174</v>
      </c>
      <c r="M187" s="16" t="s">
        <v>177</v>
      </c>
      <c r="N187" s="19" t="str">
        <f>CONCATENATE("q",I187)</f>
        <v>q124</v>
      </c>
      <c r="O187" s="48" t="str">
        <f>CONCATENATE(I187,". ",E187, " ")</f>
        <v xml:space="preserve">124. حدد قسم/مركز جديد </v>
      </c>
      <c r="P187" s="85" t="str">
        <f>CONCATENATE(I187, ". ",B187)</f>
        <v>124. Select new Kism:</v>
      </c>
      <c r="S187" s="31" t="str">
        <f>CONCATENATE(K183,  " &amp;&amp; (data('",N163,"') != 0)")</f>
        <v>(selected(data('q113'), '4') || selected(data('q115'), '4') ||  (selected(data('q122'), '1') &amp;&amp; (selected(data('q113'), '1') || selected(data('q115'), '1') || selected(data('q117'), '1'))) || selected(data('q113'), '5') || selected(data('q115'), '5')) &amp;&amp; (data('valid_overall') != 0)</v>
      </c>
      <c r="U187" s="18" t="str">
        <f>CONCATENATE("choice_item.gov=== data('",N186,"')")</f>
        <v>choice_item.gov=== data('q123')</v>
      </c>
      <c r="Y187" s="19" t="b">
        <v>1</v>
      </c>
    </row>
    <row r="188" spans="1:25" ht="138" customHeight="1">
      <c r="A188" s="19" t="str">
        <f>CONCATENATE("q",I188)</f>
        <v>q125</v>
      </c>
      <c r="B188" s="85" t="s">
        <v>321</v>
      </c>
      <c r="E188" s="407" t="s">
        <v>1493</v>
      </c>
      <c r="G188" s="48"/>
      <c r="I188" s="40">
        <f>I187+1</f>
        <v>125</v>
      </c>
      <c r="J188" s="22"/>
      <c r="L188" s="22" t="s">
        <v>174</v>
      </c>
      <c r="M188" s="19" t="s">
        <v>178</v>
      </c>
      <c r="N188" s="19" t="str">
        <f>CONCATENATE("q",I188)</f>
        <v>q125</v>
      </c>
      <c r="O188" s="48" t="str">
        <f>CONCATENATE(I188,". ",E188, " ")</f>
        <v xml:space="preserve">125. حدد شياخة \ قرية جديدة </v>
      </c>
      <c r="P188" s="85" t="str">
        <f>CONCATENATE(I188, ". ",B188)</f>
        <v>125. Select new Shyakha:</v>
      </c>
      <c r="S188" s="31" t="str">
        <f>CONCATENATE(K183,  " &amp;&amp; (data('",N163,"') != 0)")</f>
        <v>(selected(data('q113'), '4') || selected(data('q115'), '4') ||  (selected(data('q122'), '1') &amp;&amp; (selected(data('q113'), '1') || selected(data('q115'), '1') || selected(data('q117'), '1'))) || selected(data('q113'), '5') || selected(data('q115'), '5')) &amp;&amp; (data('valid_overall') != 0)</v>
      </c>
      <c r="U188" s="18" t="str">
        <f>CONCATENATE("choice_item.kism=== data('",N187,"')")</f>
        <v>choice_item.kism=== data('q124')</v>
      </c>
      <c r="Y188" s="19" t="b">
        <v>1</v>
      </c>
    </row>
    <row r="189" spans="1:25">
      <c r="A189" s="19"/>
      <c r="G189" s="48"/>
      <c r="I189" s="40"/>
      <c r="J189" s="22" t="s">
        <v>21</v>
      </c>
    </row>
    <row r="190" spans="1:25">
      <c r="A190" s="19"/>
      <c r="G190" s="48"/>
      <c r="I190" s="40"/>
      <c r="J190" s="88" t="s">
        <v>24</v>
      </c>
    </row>
    <row r="191" spans="1:25">
      <c r="G191" s="48"/>
      <c r="I191" s="40"/>
      <c r="J191" s="88" t="s">
        <v>23</v>
      </c>
      <c r="K191" s="19" t="str">
        <f>K183</f>
        <v>(selected(data('q113'), '4') || selected(data('q115'), '4') ||  (selected(data('q122'), '1') &amp;&amp; (selected(data('q113'), '1') || selected(data('q115'), '1') || selected(data('q117'), '1'))) || selected(data('q113'), '5') || selected(data('q115'), '5'))</v>
      </c>
    </row>
    <row r="192" spans="1:25">
      <c r="G192" s="48"/>
      <c r="I192" s="40"/>
      <c r="J192" s="23" t="s">
        <v>172</v>
      </c>
      <c r="Y192" s="19" t="b">
        <v>1</v>
      </c>
    </row>
    <row r="193" spans="1:25" ht="30.95" customHeight="1">
      <c r="B193" s="85" t="s">
        <v>173</v>
      </c>
      <c r="E193" s="407" t="s">
        <v>215</v>
      </c>
      <c r="G193" s="48"/>
      <c r="I193" s="40"/>
      <c r="J193" s="23"/>
      <c r="L193" s="22" t="s">
        <v>22</v>
      </c>
      <c r="O193" s="48" t="str">
        <f>E193</f>
        <v>يرجى تحديث المعلومات التالية:</v>
      </c>
      <c r="P193" s="85" t="str">
        <f>B193</f>
        <v>Please update the following information:</v>
      </c>
      <c r="Y193" s="19" t="b">
        <v>1</v>
      </c>
    </row>
    <row r="194" spans="1:25">
      <c r="G194" s="48"/>
      <c r="I194" s="40"/>
      <c r="L194" s="22" t="s">
        <v>188</v>
      </c>
      <c r="N194" s="19" t="str">
        <f>CONCATENATE(N70,"_",N36)</f>
        <v>q100_q1</v>
      </c>
      <c r="T194" s="19" t="str">
        <f>CONCATENATE("data('",N70,"') + '_' + data('",N13,"') + '_' + data('",N187,"') + '_' + data('",N36,"')")</f>
        <v>data('q100') + '_' + data('q16') + '_' + data('q124') + '_' + data('q1')</v>
      </c>
      <c r="Y194" s="16" t="b">
        <v>1</v>
      </c>
    </row>
    <row r="195" spans="1:25" ht="42" customHeight="1">
      <c r="A195" s="19" t="str">
        <f>CONCATENATE("q",I195)</f>
        <v>q126</v>
      </c>
      <c r="B195" s="85" t="s">
        <v>322</v>
      </c>
      <c r="E195" s="407" t="s">
        <v>179</v>
      </c>
      <c r="G195" s="48"/>
      <c r="I195" s="40">
        <f>I188+1</f>
        <v>126</v>
      </c>
      <c r="J195" s="22"/>
      <c r="L195" s="23" t="s">
        <v>8</v>
      </c>
      <c r="M195" s="57"/>
      <c r="N195" s="19" t="str">
        <f t="shared" ref="N195:N199" si="22">CONCATENATE("q",I195)</f>
        <v>q126</v>
      </c>
      <c r="O195" s="48" t="str">
        <f>CONCATENATE(I195,". ",E195, " ")</f>
        <v xml:space="preserve">126. اسم الشارع الجديد </v>
      </c>
      <c r="P195" s="85" t="str">
        <f>CONCATENATE(I195, ". ",B195)</f>
        <v>126. New street name</v>
      </c>
      <c r="S195" s="31" t="str">
        <f>CONCATENATE(K183,  " &amp;&amp; (data('",N163,"') != 0)")</f>
        <v>(selected(data('q113'), '4') || selected(data('q115'), '4') ||  (selected(data('q122'), '1') &amp;&amp; (selected(data('q113'), '1') || selected(data('q115'), '1') || selected(data('q117'), '1'))) || selected(data('q113'), '5') || selected(data('q115'), '5')) &amp;&amp; (data('valid_overall') != 0)</v>
      </c>
      <c r="Y195" s="19" t="b">
        <v>1</v>
      </c>
    </row>
    <row r="196" spans="1:25" ht="42" customHeight="1">
      <c r="A196" s="19" t="str">
        <f>CONCATENATE("q",I196)</f>
        <v>q127</v>
      </c>
      <c r="B196" s="85" t="s">
        <v>323</v>
      </c>
      <c r="E196" s="407" t="s">
        <v>180</v>
      </c>
      <c r="G196" s="48"/>
      <c r="I196" s="40">
        <f>I195+1</f>
        <v>127</v>
      </c>
      <c r="J196" s="22"/>
      <c r="L196" s="23" t="s">
        <v>8</v>
      </c>
      <c r="M196" s="57"/>
      <c r="N196" s="19" t="str">
        <f t="shared" si="22"/>
        <v>q127</v>
      </c>
      <c r="O196" s="48" t="str">
        <f>CONCATENATE(I196,". ",E196, " ")</f>
        <v xml:space="preserve">127. رقم الشارع الجديد </v>
      </c>
      <c r="P196" s="85" t="str">
        <f>CONCATENATE(I196, ". ",B196)</f>
        <v>127. New road number</v>
      </c>
      <c r="S196" s="31" t="str">
        <f>CONCATENATE(K183,  " &amp;&amp; (data('",N163,"') != 0)")</f>
        <v>(selected(data('q113'), '4') || selected(data('q115'), '4') ||  (selected(data('q122'), '1') &amp;&amp; (selected(data('q113'), '1') || selected(data('q115'), '1') || selected(data('q117'), '1'))) || selected(data('q113'), '5') || selected(data('q115'), '5')) &amp;&amp; (data('valid_overall') != 0)</v>
      </c>
      <c r="Y196" s="19" t="b">
        <v>1</v>
      </c>
    </row>
    <row r="197" spans="1:25" ht="42" customHeight="1">
      <c r="A197" s="19" t="str">
        <f>CONCATENATE("q",I197)</f>
        <v>q128</v>
      </c>
      <c r="B197" s="85" t="s">
        <v>324</v>
      </c>
      <c r="E197" s="407" t="s">
        <v>1079</v>
      </c>
      <c r="G197" s="48"/>
      <c r="I197" s="40">
        <f>I196+1</f>
        <v>128</v>
      </c>
      <c r="J197" s="22"/>
      <c r="L197" s="23" t="s">
        <v>8</v>
      </c>
      <c r="M197" s="57"/>
      <c r="N197" s="19" t="str">
        <f t="shared" si="22"/>
        <v>q128</v>
      </c>
      <c r="O197" s="48" t="str">
        <f>CONCATENATE(I197,". ",E197, " ")</f>
        <v xml:space="preserve">128.  اسم المالك الجديد أو رقم البيت الجديد  </v>
      </c>
      <c r="P197" s="85" t="str">
        <f>CONCATENATE(I197, ". ",B197)</f>
        <v>128. New house owner</v>
      </c>
      <c r="S197" s="31" t="str">
        <f>CONCATENATE(K183,  " &amp;&amp; (data('",N163,"') != 0)")</f>
        <v>(selected(data('q113'), '4') || selected(data('q115'), '4') ||  (selected(data('q122'), '1') &amp;&amp; (selected(data('q113'), '1') || selected(data('q115'), '1') || selected(data('q117'), '1'))) || selected(data('q113'), '5') || selected(data('q115'), '5')) &amp;&amp; (data('valid_overall') != 0)</v>
      </c>
      <c r="Y197" s="19" t="b">
        <v>1</v>
      </c>
    </row>
    <row r="198" spans="1:25" ht="42" customHeight="1">
      <c r="A198" s="19" t="str">
        <f>CONCATENATE("q",I198)</f>
        <v>q129</v>
      </c>
      <c r="B198" s="85" t="s">
        <v>325</v>
      </c>
      <c r="E198" s="407" t="s">
        <v>1080</v>
      </c>
      <c r="G198" s="48"/>
      <c r="I198" s="40">
        <f t="shared" ref="I198" si="23">I197+1</f>
        <v>129</v>
      </c>
      <c r="J198" s="22"/>
      <c r="L198" s="23" t="s">
        <v>8</v>
      </c>
      <c r="M198" s="57"/>
      <c r="N198" s="19" t="str">
        <f t="shared" si="22"/>
        <v>q129</v>
      </c>
      <c r="O198" s="48" t="str">
        <f>CONCATENATE(I198,". ",E198, " ")</f>
        <v xml:space="preserve">129. نوع المسكن الجديد </v>
      </c>
      <c r="P198" s="85" t="str">
        <f>CONCATENATE(I198, ". ",B198)</f>
        <v>129. New dwelling type</v>
      </c>
      <c r="S198" s="31" t="str">
        <f>CONCATENATE(K183,  " &amp;&amp; (data('",N163,"') != 0)")</f>
        <v>(selected(data('q113'), '4') || selected(data('q115'), '4') ||  (selected(data('q122'), '1') &amp;&amp; (selected(data('q113'), '1') || selected(data('q115'), '1') || selected(data('q117'), '1'))) || selected(data('q113'), '5') || selected(data('q115'), '5')) &amp;&amp; (data('valid_overall') != 0)</v>
      </c>
      <c r="Y198" s="19" t="b">
        <v>1</v>
      </c>
    </row>
    <row r="199" spans="1:25" ht="42" customHeight="1">
      <c r="A199" s="19" t="str">
        <f>CONCATENATE("q",I199)</f>
        <v>q130</v>
      </c>
      <c r="B199" s="85" t="s">
        <v>326</v>
      </c>
      <c r="E199" s="407" t="s">
        <v>1081</v>
      </c>
      <c r="G199" s="48"/>
      <c r="I199" s="40">
        <f>I198+1</f>
        <v>130</v>
      </c>
      <c r="J199" s="22"/>
      <c r="L199" s="23" t="s">
        <v>8</v>
      </c>
      <c r="M199" s="57"/>
      <c r="N199" s="19" t="str">
        <f t="shared" si="22"/>
        <v>q130</v>
      </c>
      <c r="O199" s="48" t="str">
        <f>CONCATENATE(I199,". ",E199, " ")</f>
        <v xml:space="preserve">130. معلومات أخرى  </v>
      </c>
      <c r="P199" s="85" t="str">
        <f>CONCATENATE(I199, ". ",B199)</f>
        <v>130. Other notes to locate</v>
      </c>
      <c r="Y199" s="19" t="b">
        <v>1</v>
      </c>
    </row>
    <row r="200" spans="1:25">
      <c r="G200" s="48"/>
      <c r="H200" s="48" t="str">
        <f>CONCATENATE("If ",N7, "== yes--&gt;",N206)</f>
        <v>If q10== yes--&gt;q132</v>
      </c>
      <c r="I200" s="40"/>
      <c r="J200" s="22" t="s">
        <v>21</v>
      </c>
      <c r="L200" s="23"/>
      <c r="M200" s="57"/>
      <c r="N200" s="16"/>
    </row>
    <row r="201" spans="1:25">
      <c r="G201" s="48"/>
      <c r="I201" s="40"/>
      <c r="J201" s="88" t="s">
        <v>42</v>
      </c>
    </row>
    <row r="202" spans="1:25">
      <c r="G202" s="48"/>
      <c r="I202" s="40"/>
      <c r="J202" s="88" t="s">
        <v>23</v>
      </c>
      <c r="K202" s="19" t="str">
        <f>CONCATENATE("data('",N7,"')===""no", CHAR(34), "&amp;&amp; ( selected(data('",N92,"'), '1') || selected(data('",N112,"'), '1') || selected(data('",N132,"'), '1') || selected(data('",N92,"'), '4') || selected(data('",N112,"'), '4') || selected(data('",N132,"'), '4') || selected(data('",N92,"'), '5') || selected(data('",N112,"'), '5') || selected(data('",N132,"'), '5'))")</f>
        <v>data('q10')==="no"&amp;&amp; ( selected(data('q113'), '1') || selected(data('q115'), '1') || selected(data('q117'), '1') || selected(data('q113'), '4') || selected(data('q115'), '4') || selected(data('q117'), '4') || selected(data('q113'), '5') || selected(data('q115'), '5') || selected(data('q117'), '5'))</v>
      </c>
    </row>
    <row r="203" spans="1:25" ht="189.95" customHeight="1">
      <c r="A203" s="19" t="str">
        <f>CONCATENATE("q",I203)</f>
        <v>q131</v>
      </c>
      <c r="B203" s="85" t="str">
        <f>CONCATENATE("Is this your telephone number?: {{data.",N26,"}}")</f>
        <v>Is this your telephone number?: {{data.q108}}</v>
      </c>
      <c r="E203" s="407" t="str">
        <f>CONCATENATE("هل رقم تليفونك؟ : {{data.",N26,"}}")</f>
        <v>هل رقم تليفونك؟ : {{data.q108}}</v>
      </c>
      <c r="G203" s="48"/>
      <c r="H203" s="48" t="s">
        <v>265</v>
      </c>
      <c r="I203" s="40">
        <f>I199+1</f>
        <v>131</v>
      </c>
      <c r="L203" s="22" t="s">
        <v>170</v>
      </c>
      <c r="M203" s="19" t="s">
        <v>17</v>
      </c>
      <c r="N203" s="19" t="str">
        <f>CONCATENATE("q",I203)</f>
        <v>q131</v>
      </c>
      <c r="O203" s="48" t="str">
        <f>CONCATENATE(I203,". ",E203, " ")</f>
        <v xml:space="preserve">131. هل رقم تليفونك؟ : {{data.q108}} </v>
      </c>
      <c r="P203" s="85" t="str">
        <f>CONCATENATE(I203, ". ",B203)</f>
        <v>131. Is this your telephone number?: {{data.q108}}</v>
      </c>
      <c r="S203" s="31" t="str">
        <f>CONCATENATE(K202, " &amp;&amp; ", "(data('",N163,"') != 0)")</f>
        <v>data('q10')==="no"&amp;&amp; ( selected(data('q113'), '1') || selected(data('q115'), '1') || selected(data('q117'), '1') || selected(data('q113'), '4') || selected(data('q115'), '4') || selected(data('q117'), '4') || selected(data('q113'), '5') || selected(data('q115'), '5') || selected(data('q117'), '5')) &amp;&amp; (data('valid_overall') != 0)</v>
      </c>
      <c r="Y203" s="19" t="b">
        <v>1</v>
      </c>
    </row>
    <row r="204" spans="1:25">
      <c r="A204" s="19"/>
      <c r="G204" s="48"/>
      <c r="I204" s="40"/>
      <c r="J204" s="88" t="s">
        <v>24</v>
      </c>
    </row>
    <row r="205" spans="1:25">
      <c r="G205" s="48"/>
      <c r="I205" s="40"/>
      <c r="J205" s="88" t="s">
        <v>51</v>
      </c>
      <c r="K205" s="19" t="str">
        <f>CONCATENATE("(selected(data('",N203,"'), '2') || data('",N7,"')===""yes", CHAR(34),") &amp;&amp; ( selected(data('",N92,"'), '1') || selected(data('",N112,"'), '1') || selected(data('",N132,"'), '1') || (selected(data('",N92,"'), '4') || selected(data('",N112,"'), '4') ) || (selected(data('",N92,"'), '5') || selected(data('",N132,"'), '5')  ))")</f>
        <v>(selected(data('q131'), '2') || data('q10')==="yes") &amp;&amp; ( selected(data('q113'), '1') || selected(data('q115'), '1') || selected(data('q117'), '1') || (selected(data('q113'), '4') || selected(data('q115'), '4') ) || (selected(data('q113'), '5') || selected(data('q117'), '5')  ))</v>
      </c>
      <c r="Y205" s="19" t="b">
        <v>1</v>
      </c>
    </row>
    <row r="206" spans="1:25" ht="150">
      <c r="A206" s="19" t="str">
        <f>CONCATENATE("q",I206)</f>
        <v>q132</v>
      </c>
      <c r="B206" s="85" t="s">
        <v>327</v>
      </c>
      <c r="E206" s="407" t="s">
        <v>171</v>
      </c>
      <c r="G206" s="48"/>
      <c r="I206" s="40">
        <f>I203+1</f>
        <v>132</v>
      </c>
      <c r="J206" s="22"/>
      <c r="L206" s="22" t="s">
        <v>414</v>
      </c>
      <c r="N206" s="19" t="str">
        <f>CONCATENATE("q",I206)</f>
        <v>q132</v>
      </c>
      <c r="O206" s="48" t="str">
        <f>CONCATENATE(I206,". ",E206, " ")</f>
        <v xml:space="preserve">132. رقم تليفون جديد </v>
      </c>
      <c r="P206" s="85" t="str">
        <f>CONCATENATE(I206, ". ",B206)</f>
        <v xml:space="preserve">132. New telephone number </v>
      </c>
      <c r="Q206" s="465" t="s">
        <v>1560</v>
      </c>
      <c r="R206" s="31" t="s">
        <v>1559</v>
      </c>
      <c r="S206" s="31" t="str">
        <f>CONCATENATE(K205, " &amp;&amp; ", "(data('",N163,"') != 0)")</f>
        <v>(selected(data('q131'), '2') || data('q10')==="yes") &amp;&amp; ( selected(data('q113'), '1') || selected(data('q115'), '1') || selected(data('q117'), '1') || (selected(data('q113'), '4') || selected(data('q115'), '4') ) || (selected(data('q113'), '5') || selected(data('q117'), '5')  )) &amp;&amp; (data('valid_overall') != 0)</v>
      </c>
      <c r="V206" s="19" t="str">
        <f>CONCATENATE(" (data('",N206,"')&gt;999999999 &amp;&amp; data('",N206,"') &lt;10000000000000)  || selected(data('",N203,"'), '1') || data('valid_overall') == 0")</f>
        <v xml:space="preserve"> (data('q132')&gt;999999999 &amp;&amp; data('q132') &lt;10000000000000)  || selected(data('q131'), '1') || data('valid_overall') == 0</v>
      </c>
      <c r="W206" s="19" t="str">
        <f>Q206</f>
        <v>13-11 رقماً ويتضمن رمز المنطقة</v>
      </c>
      <c r="X206" s="19" t="str">
        <f>R206</f>
        <v>11-13 digits. Include area code</v>
      </c>
      <c r="Y206" s="19" t="b">
        <v>1</v>
      </c>
    </row>
    <row r="207" spans="1:25">
      <c r="G207" s="48"/>
      <c r="I207" s="40"/>
      <c r="J207" s="88" t="s">
        <v>42</v>
      </c>
      <c r="Y207" s="19" t="b">
        <v>1</v>
      </c>
    </row>
    <row r="208" spans="1:25" ht="72" customHeight="1">
      <c r="G208" s="48"/>
      <c r="H208" s="48" t="str">
        <f>CONCATENATE("If current visit result =1--&gt;",N238)</f>
        <v>If current visit result =1--&gt;q133</v>
      </c>
      <c r="I208" s="40"/>
      <c r="J208" s="88"/>
    </row>
    <row r="209" spans="1:25" ht="30">
      <c r="G209" s="48"/>
      <c r="H209" s="48" t="s">
        <v>1481</v>
      </c>
      <c r="I209" s="40"/>
      <c r="J209" s="88" t="s">
        <v>23</v>
      </c>
      <c r="K209" s="16" t="str">
        <f>CONCATENATE("selected (data('",N92,"'), '5')")</f>
        <v>selected (data('q113'), '5')</v>
      </c>
    </row>
    <row r="210" spans="1:25">
      <c r="G210" s="48"/>
      <c r="I210" s="40"/>
      <c r="J210" s="22" t="s">
        <v>20</v>
      </c>
      <c r="K210" s="16"/>
    </row>
    <row r="211" spans="1:25" ht="60">
      <c r="B211" s="85" t="s">
        <v>1317</v>
      </c>
      <c r="E211" s="407" t="s">
        <v>1335</v>
      </c>
      <c r="G211" s="48"/>
      <c r="I211" s="40"/>
      <c r="L211" s="22" t="s">
        <v>22</v>
      </c>
      <c r="O211" s="48" t="str">
        <f>E211</f>
        <v>انهي الزيارة وانقل المقابلة إلى فريق آخر للاستمرار</v>
      </c>
      <c r="P211" s="85" t="str">
        <f>B211</f>
        <v>End visit and transfer interview to other team to continue</v>
      </c>
      <c r="Y211" s="19" t="b">
        <v>1</v>
      </c>
    </row>
    <row r="212" spans="1:25" ht="45">
      <c r="B212" s="85" t="s">
        <v>160</v>
      </c>
      <c r="E212" s="407" t="s">
        <v>1067</v>
      </c>
      <c r="G212" s="48"/>
      <c r="I212" s="40"/>
      <c r="J212" s="22"/>
      <c r="K212" s="16"/>
      <c r="L212" s="22" t="s">
        <v>22</v>
      </c>
      <c r="O212" s="48" t="str">
        <f>E212</f>
        <v>إذا لم تكن هذه هي الزيارة الأولى اضغط "التالي"</v>
      </c>
      <c r="P212" s="85" t="str">
        <f>B212</f>
        <v>If this is not the first visit click "Next"</v>
      </c>
      <c r="Y212" s="19" t="b">
        <v>1</v>
      </c>
    </row>
    <row r="213" spans="1:25">
      <c r="G213" s="48"/>
      <c r="I213" s="40"/>
      <c r="J213" s="22" t="s">
        <v>21</v>
      </c>
      <c r="K213" s="16"/>
    </row>
    <row r="214" spans="1:25">
      <c r="B214" s="85" t="s">
        <v>157</v>
      </c>
      <c r="E214" s="407" t="s">
        <v>1066</v>
      </c>
      <c r="G214" s="48"/>
      <c r="I214" s="40"/>
      <c r="L214" s="22" t="s">
        <v>366</v>
      </c>
      <c r="O214" s="48" t="str">
        <f>E214</f>
        <v>حفظ الاستمارة</v>
      </c>
      <c r="P214" s="85" t="str">
        <f>B214</f>
        <v>Save form</v>
      </c>
      <c r="Y214" s="19" t="b">
        <v>1</v>
      </c>
    </row>
    <row r="215" spans="1:25">
      <c r="G215" s="48"/>
      <c r="I215" s="40"/>
      <c r="J215" s="88" t="s">
        <v>24</v>
      </c>
      <c r="K215" s="16"/>
    </row>
    <row r="216" spans="1:25">
      <c r="G216" s="48"/>
      <c r="I216" s="40"/>
      <c r="J216" s="88" t="s">
        <v>23</v>
      </c>
      <c r="K216" s="16" t="str">
        <f>CONCATENATE("selected (data('",N112,"'), '5')")</f>
        <v>selected (data('q115'), '5')</v>
      </c>
    </row>
    <row r="217" spans="1:25" ht="30">
      <c r="G217" s="48"/>
      <c r="H217" s="407" t="s">
        <v>1482</v>
      </c>
      <c r="I217" s="40"/>
      <c r="J217" s="22" t="s">
        <v>20</v>
      </c>
      <c r="K217" s="16"/>
    </row>
    <row r="218" spans="1:25" ht="60">
      <c r="B218" s="85" t="s">
        <v>1318</v>
      </c>
      <c r="E218" s="407" t="s">
        <v>1336</v>
      </c>
      <c r="G218" s="48"/>
      <c r="I218" s="40"/>
      <c r="J218" s="22"/>
      <c r="L218" s="22" t="s">
        <v>22</v>
      </c>
      <c r="O218" s="48" t="str">
        <f>E218</f>
        <v>انهي الزيارة الثانية وانقل المقابلة إلى فريق آخر للاستمرار</v>
      </c>
      <c r="P218" s="85" t="str">
        <f>B218</f>
        <v>End second visit and transfer interview to other team to continue</v>
      </c>
      <c r="Y218" s="19" t="b">
        <v>1</v>
      </c>
    </row>
    <row r="219" spans="1:25" ht="45">
      <c r="B219" s="85" t="s">
        <v>162</v>
      </c>
      <c r="E219" s="407" t="s">
        <v>1071</v>
      </c>
      <c r="G219" s="48"/>
      <c r="I219" s="40"/>
      <c r="J219" s="22"/>
      <c r="K219" s="16"/>
      <c r="L219" s="22" t="s">
        <v>22</v>
      </c>
      <c r="O219" s="48" t="str">
        <f>E219</f>
        <v>إذا لم تكن هذه هي الزيارة الثانية اضغط "التالي"</v>
      </c>
      <c r="P219" s="85" t="str">
        <f>B219</f>
        <v>If this is not the second visit click "Next"</v>
      </c>
      <c r="Y219" s="19" t="b">
        <v>1</v>
      </c>
    </row>
    <row r="220" spans="1:25">
      <c r="G220" s="48"/>
      <c r="I220" s="40"/>
      <c r="J220" s="22" t="s">
        <v>21</v>
      </c>
      <c r="K220" s="16"/>
    </row>
    <row r="221" spans="1:25">
      <c r="B221" s="85" t="s">
        <v>157</v>
      </c>
      <c r="E221" s="407" t="s">
        <v>1066</v>
      </c>
      <c r="G221" s="48"/>
      <c r="I221" s="40"/>
      <c r="J221" s="23"/>
      <c r="L221" s="22" t="s">
        <v>156</v>
      </c>
      <c r="O221" s="48" t="str">
        <f>E221</f>
        <v>حفظ الاستمارة</v>
      </c>
      <c r="P221" s="85" t="str">
        <f>B221</f>
        <v>Save form</v>
      </c>
      <c r="Y221" s="19" t="b">
        <v>1</v>
      </c>
    </row>
    <row r="222" spans="1:25">
      <c r="G222" s="48"/>
      <c r="I222" s="40"/>
      <c r="J222" s="88" t="s">
        <v>24</v>
      </c>
    </row>
    <row r="223" spans="1:25" ht="30">
      <c r="A223" s="406"/>
      <c r="B223" s="410"/>
      <c r="C223" s="407"/>
      <c r="D223" s="407"/>
      <c r="G223" s="407"/>
      <c r="H223" s="407" t="s">
        <v>1483</v>
      </c>
      <c r="I223" s="406"/>
      <c r="J223" s="88" t="s">
        <v>23</v>
      </c>
      <c r="K223" s="16" t="str">
        <f>CONCATENATE("selected (data('",N92,"'), '4')")</f>
        <v>selected (data('q113'), '4')</v>
      </c>
      <c r="L223" s="405"/>
      <c r="O223" s="407"/>
      <c r="P223" s="410"/>
    </row>
    <row r="224" spans="1:25">
      <c r="A224" s="406"/>
      <c r="B224" s="410"/>
      <c r="C224" s="407"/>
      <c r="D224" s="407"/>
      <c r="G224" s="407"/>
      <c r="H224" s="407"/>
      <c r="I224" s="406"/>
      <c r="J224" s="405" t="s">
        <v>20</v>
      </c>
      <c r="K224" s="16"/>
      <c r="L224" s="405"/>
      <c r="O224" s="407"/>
      <c r="P224" s="410"/>
    </row>
    <row r="225" spans="1:25" ht="60">
      <c r="A225" s="406"/>
      <c r="B225" s="410" t="s">
        <v>1485</v>
      </c>
      <c r="C225" s="407"/>
      <c r="D225" s="407"/>
      <c r="E225" s="407" t="s">
        <v>1504</v>
      </c>
      <c r="G225" s="407"/>
      <c r="H225" s="407"/>
      <c r="I225" s="406"/>
      <c r="L225" s="405" t="s">
        <v>22</v>
      </c>
      <c r="O225" s="407" t="str">
        <f>E225</f>
        <v>إنهى الزيارة الأولى وأذهب إلى العنوان الجديد في زيارة أخرى لاحقاً</v>
      </c>
      <c r="P225" s="410" t="str">
        <f>B225</f>
        <v>End first visit and go to new address on future visit</v>
      </c>
      <c r="Y225" s="19" t="b">
        <v>1</v>
      </c>
    </row>
    <row r="226" spans="1:25" ht="45">
      <c r="A226" s="406"/>
      <c r="B226" s="410" t="s">
        <v>160</v>
      </c>
      <c r="C226" s="407"/>
      <c r="D226" s="407"/>
      <c r="E226" s="407" t="s">
        <v>1067</v>
      </c>
      <c r="G226" s="407"/>
      <c r="H226" s="407"/>
      <c r="I226" s="406"/>
      <c r="J226" s="405"/>
      <c r="K226" s="16"/>
      <c r="L226" s="405" t="s">
        <v>22</v>
      </c>
      <c r="O226" s="407" t="str">
        <f>E226</f>
        <v>إذا لم تكن هذه هي الزيارة الأولى اضغط "التالي"</v>
      </c>
      <c r="P226" s="410" t="str">
        <f>B226</f>
        <v>If this is not the first visit click "Next"</v>
      </c>
      <c r="Y226" s="19" t="b">
        <v>1</v>
      </c>
    </row>
    <row r="227" spans="1:25">
      <c r="A227" s="406"/>
      <c r="B227" s="410"/>
      <c r="C227" s="407"/>
      <c r="D227" s="407"/>
      <c r="G227" s="407"/>
      <c r="H227" s="407"/>
      <c r="I227" s="406"/>
      <c r="J227" s="405" t="s">
        <v>21</v>
      </c>
      <c r="K227" s="16"/>
      <c r="L227" s="405"/>
      <c r="O227" s="407"/>
      <c r="P227" s="410"/>
    </row>
    <row r="228" spans="1:25">
      <c r="A228" s="406"/>
      <c r="B228" s="410" t="s">
        <v>157</v>
      </c>
      <c r="C228" s="407"/>
      <c r="D228" s="407"/>
      <c r="E228" s="407" t="s">
        <v>1066</v>
      </c>
      <c r="G228" s="407"/>
      <c r="H228" s="407"/>
      <c r="I228" s="406"/>
      <c r="L228" s="405" t="s">
        <v>366</v>
      </c>
      <c r="O228" s="407" t="str">
        <f>E228</f>
        <v>حفظ الاستمارة</v>
      </c>
      <c r="P228" s="410" t="str">
        <f>B228</f>
        <v>Save form</v>
      </c>
      <c r="Y228" s="19" t="b">
        <v>1</v>
      </c>
    </row>
    <row r="229" spans="1:25">
      <c r="A229" s="406"/>
      <c r="B229" s="410"/>
      <c r="C229" s="407"/>
      <c r="D229" s="407"/>
      <c r="G229" s="407"/>
      <c r="H229" s="407"/>
      <c r="I229" s="406"/>
      <c r="J229" s="88" t="s">
        <v>24</v>
      </c>
      <c r="K229" s="16"/>
      <c r="L229" s="405"/>
      <c r="O229" s="407"/>
      <c r="P229" s="410"/>
    </row>
    <row r="230" spans="1:25">
      <c r="A230" s="406"/>
      <c r="B230" s="410"/>
      <c r="C230" s="407"/>
      <c r="D230" s="407"/>
      <c r="G230" s="407"/>
      <c r="H230" s="407"/>
      <c r="I230" s="406"/>
      <c r="J230" s="88" t="s">
        <v>23</v>
      </c>
      <c r="K230" s="16" t="str">
        <f>CONCATENATE("selected (data('",N112,"'), '4')")</f>
        <v>selected (data('q115'), '4')</v>
      </c>
      <c r="L230" s="405"/>
      <c r="O230" s="407"/>
      <c r="P230" s="410"/>
    </row>
    <row r="231" spans="1:25" ht="30">
      <c r="A231" s="406"/>
      <c r="B231" s="410"/>
      <c r="C231" s="407"/>
      <c r="D231" s="407"/>
      <c r="G231" s="407"/>
      <c r="H231" s="407" t="s">
        <v>1484</v>
      </c>
      <c r="I231" s="406"/>
      <c r="J231" s="405" t="s">
        <v>20</v>
      </c>
      <c r="K231" s="16"/>
      <c r="L231" s="405"/>
      <c r="O231" s="407"/>
      <c r="P231" s="410"/>
    </row>
    <row r="232" spans="1:25" ht="60">
      <c r="A232" s="406"/>
      <c r="B232" s="410" t="s">
        <v>1486</v>
      </c>
      <c r="C232" s="407"/>
      <c r="D232" s="407"/>
      <c r="E232" s="407" t="s">
        <v>1505</v>
      </c>
      <c r="G232" s="407"/>
      <c r="H232" s="407"/>
      <c r="I232" s="406"/>
      <c r="J232" s="405"/>
      <c r="L232" s="405" t="s">
        <v>22</v>
      </c>
      <c r="O232" s="407" t="str">
        <f>E232</f>
        <v>إنهى الزيارة الثانية وأذهب إلى العنوان الجديد في زيارة أخرى لاحقاً</v>
      </c>
      <c r="P232" s="410" t="str">
        <f>B232</f>
        <v>End second visit and go to new address on future visit</v>
      </c>
      <c r="Y232" s="19" t="b">
        <v>1</v>
      </c>
    </row>
    <row r="233" spans="1:25" ht="45">
      <c r="A233" s="406"/>
      <c r="B233" s="410" t="s">
        <v>162</v>
      </c>
      <c r="C233" s="407"/>
      <c r="D233" s="407"/>
      <c r="E233" s="407" t="s">
        <v>1071</v>
      </c>
      <c r="G233" s="407"/>
      <c r="H233" s="407"/>
      <c r="I233" s="406"/>
      <c r="J233" s="405"/>
      <c r="K233" s="16"/>
      <c r="L233" s="405" t="s">
        <v>22</v>
      </c>
      <c r="O233" s="407" t="str">
        <f>E233</f>
        <v>إذا لم تكن هذه هي الزيارة الثانية اضغط "التالي"</v>
      </c>
      <c r="P233" s="410" t="str">
        <f>B233</f>
        <v>If this is not the second visit click "Next"</v>
      </c>
      <c r="Y233" s="19" t="b">
        <v>1</v>
      </c>
    </row>
    <row r="234" spans="1:25">
      <c r="A234" s="406"/>
      <c r="B234" s="410"/>
      <c r="C234" s="407"/>
      <c r="D234" s="407"/>
      <c r="G234" s="407"/>
      <c r="H234" s="407"/>
      <c r="I234" s="406"/>
      <c r="J234" s="405" t="s">
        <v>21</v>
      </c>
      <c r="K234" s="16"/>
      <c r="L234" s="405"/>
      <c r="O234" s="407"/>
      <c r="P234" s="410"/>
    </row>
    <row r="235" spans="1:25">
      <c r="A235" s="406"/>
      <c r="B235" s="410" t="s">
        <v>157</v>
      </c>
      <c r="C235" s="407"/>
      <c r="D235" s="407"/>
      <c r="E235" s="407" t="s">
        <v>1066</v>
      </c>
      <c r="G235" s="407"/>
      <c r="H235" s="407"/>
      <c r="I235" s="406"/>
      <c r="J235" s="23"/>
      <c r="L235" s="405" t="s">
        <v>156</v>
      </c>
      <c r="O235" s="407" t="str">
        <f>E235</f>
        <v>حفظ الاستمارة</v>
      </c>
      <c r="P235" s="410" t="str">
        <f>B235</f>
        <v>Save form</v>
      </c>
      <c r="Y235" s="19" t="b">
        <v>1</v>
      </c>
    </row>
    <row r="236" spans="1:25">
      <c r="A236" s="406"/>
      <c r="B236" s="410"/>
      <c r="C236" s="407"/>
      <c r="D236" s="407"/>
      <c r="G236" s="407"/>
      <c r="H236" s="407"/>
      <c r="I236" s="406"/>
      <c r="J236" s="88" t="s">
        <v>24</v>
      </c>
      <c r="L236" s="405"/>
      <c r="O236" s="407"/>
      <c r="P236" s="410"/>
    </row>
    <row r="237" spans="1:25">
      <c r="A237" s="406"/>
      <c r="B237" s="410"/>
      <c r="C237" s="407"/>
      <c r="D237" s="407"/>
      <c r="G237" s="407"/>
      <c r="H237" s="407"/>
      <c r="I237" s="406"/>
      <c r="J237" s="88"/>
      <c r="L237" s="405"/>
      <c r="O237" s="407"/>
      <c r="P237" s="410"/>
    </row>
    <row r="238" spans="1:25" ht="135">
      <c r="A238" s="19" t="str">
        <f>CONCATENATE("q",I238)</f>
        <v>q133</v>
      </c>
      <c r="B238" s="85" t="s">
        <v>494</v>
      </c>
      <c r="C238" s="31"/>
      <c r="D238" s="31" t="str">
        <f>CONCATENATE(INDEX(choices!D:D,MATCH(M238,choices!A:A,0)),"
",IF(M238=INDEX(choices!A:A,MATCH(M238,choices!A:A,0)+1),INDEX(choices!D:D,MATCH(M238,choices!A:A,0)+1),""),IF(M238=INDEX(choices!A:A,MATCH(M238,choices!A:A,0)+1), "
",""),IF(M238=INDEX(choices!A:A,MATCH(M238,choices!A:A,0)+2),INDEX(choices!D:D,MATCH(M238,choices!A:A,0)+2),""),IF(M238=INDEX(choices!A:A,MATCH(M238,choices!A:A,0)+2), "
",""),IF(M238=INDEX(choices!A:A,MATCH(M238,choices!A:A,0)+3),INDEX(choices!D:D,MATCH(M238,choices!A:A,0)+3),""),IF(M238=INDEX(choices!A:A,MATCH(M238,choices!A:A,0)+3), "
",""),IF(M238=INDEX(choices!A:A,MATCH(M238,choices!A:A,0)+4),INDEX(choices!D:D,MATCH(M238,choices!A:A,0)+4),""),IF(M238=INDEX(choices!A:A,MATCH(M238,choices!A:A,0)+4), "
",""),IF(M238=INDEX(choices!A:A,MATCH(M238,choices!A:A,0)+5),INDEX(choices!D:D,MATCH(M238,choices!A:A,0)+5),""),IF(M238=INDEX(choices!A:A,MATCH(M238,choices!A:A,0)+5), "
",""),IF(M238=INDEX(choices!A:A,MATCH(M238,choices!A:A,0)+6),INDEX(choices!D:D,MATCH(M238,choices!A:A,0)+6),""),IF(M238=INDEX(choices!A:A,MATCH(M238,choices!A:A,0)+6), "
",""),IF(M238=INDEX(choices!A:A,MATCH(M238,choices!A:A,0)+7),INDEX(choices!D:D,MATCH(M238,choices!A:A,0)+7),""),IF(M238=INDEX(choices!A:A,MATCH(M238,choices!A:A,0)+7), "
",""),IF(M238=INDEX(choices!A:A,MATCH(M238,choices!A:A,0)+8),INDEX(choices!D:D,MATCH(M238,choices!A:A,0)+8),""),IF(M238=INDEX(choices!A:A,MATCH(M238,choices!A:A,0)+8), "
",""),IF(M238=INDEX(choices!A:A,MATCH(M238,choices!A:A,0)+9),INDEX(choices!D:D,MATCH(M238,choices!A:A,0)+9),""),IF(M238=INDEX(choices!A:A,MATCH(M238,choices!A:A,0)+9), "
",""),IF(M238=INDEX(choices!A:A,MATCH(M238,choices!A:A,0)+10),INDEX(choices!D:D,MATCH(M238,choices!A:A,0)+10),""),IF(M238=INDEX(choices!A:A,MATCH(M238,choices!A:A,0)+10), "
",""),IF(M238=INDEX(choices!A:A,MATCH(M238,choices!A:A,0)+11),INDEX(choices!D:D,MATCH(M238,choices!A:A,0)+11),""),IF(M238=INDEX(choices!A:A,MATCH(M238,choices!A:A,0)+11), "
",""),IF(M238=INDEX(choices!A:A,MATCH(M238,choices!A:A,0)+12),INDEX(choices!D:D,MATCH(M238,choices!A:A,0)+12),""),IF(M238=INDEX(choices!A:A,MATCH(M238,choices!A:A,0)+12), "
",""),IF(M238=INDEX(choices!A:A,MATCH(M238,choices!A:A,0)+13),INDEX(choices!D:D,MATCH(M238,choices!A:A,0)+13),""),IF(M238=INDEX(choices!A:A,MATCH(M238,choices!A:A,0)+13), "
",""),IF(M238=INDEX(choices!A:A,MATCH(M238,choices!A:A,0)+14),INDEX(choices!D:D,MATCH(M238,choices!A:A,0)+14),""),IF(M238=INDEX(choices!A:A,MATCH(M238,choices!A:A,0)+14), "
",""),IF(M238=INDEX(choices!A:A,MATCH(M238,choices!A:A,0)+15),INDEX(choices!D:D,MATCH(M238,choices!A:A,0)+15),""),IF(M238=INDEX(choices!A:A,MATCH(M238,choices!A:A,0)+15), "
",""),IF(M238=INDEX(choices!A:A,MATCH(M238,choices!A:A,0)+16),INDEX(choices!D:D,MATCH(M238,choices!A:A,0)+16),""),IF(M238=INDEX(choices!A:A,MATCH(M238,choices!A:A,0)+16), "
",""),IF(M238=INDEX(choices!A:A,MATCH(M238,choices!A:A,0)+17),INDEX(choices!D:D,MATCH(M238,choices!A:A,0)+17),""),IF(M238=INDEX(choices!A:A,MATCH(M238,choices!A:A,0)+17), "
",""),IF(M238=INDEX(choices!A:A,MATCH(M238,choices!A:A,0)+18),INDEX(choices!D:D,MATCH(M238,choices!A:A,0)+18),""),IF(M238=INDEX(choices!A:A,MATCH(M238,choices!A:A,0)+18), "
",""),IF(M238=INDEX(choices!A:A,MATCH(M238,choices!A:A,0)+19),INDEX(choices!D:D,MATCH(M238,choices!A:A,0)+19),""),IF(M238=INDEX(choices!A:A,MATCH(M238,choices!A:A,0)+19), "
",""),IF(M238=INDEX(choices!A:A,MATCH(M238,choices!A:A,0)+20),INDEX(choices!D:D,MATCH(M238,choices!A:A,0)+20),""),IF(M238=INDEX(choices!A:A,MATCH(M238,choices!A:A,0)+20), "
",""))</f>
        <v xml:space="preserve">1. Urban
2. Rural
</v>
      </c>
      <c r="E238" s="405" t="s">
        <v>1082</v>
      </c>
      <c r="F238" s="410"/>
      <c r="G238" s="48" t="str">
        <f>CONCATENATE(INDEX(choices!C:C,MATCH(M238,choices!A:A,0)),"
",IF(M238=INDEX(choices!A:A,MATCH(M238,choices!A:A,0)+1),INDEX(choices!C:C,MATCH(M238,choices!A:A,0)+1),""),IF(M238=INDEX(choices!A:A,MATCH(M238,choices!A:A,0)+1), "
",""),IF(M238=INDEX(choices!A:A,MATCH(M238,choices!A:A,0)+2),INDEX(choices!C:C,MATCH(M238,choices!A:A,0)+2),""),IF(M238=INDEX(choices!A:A,MATCH(M238,choices!A:A,0)+2), "
",""),IF(M238=INDEX(choices!A:A,MATCH(M238,choices!A:A,0)+3),INDEX(choices!C:C,MATCH(M238,choices!A:A,0)+3),""),IF(M238=INDEX(choices!A:A,MATCH(M238,choices!A:A,0)+3), "
",""),IF(M238=INDEX(choices!A:A,MATCH(M238,choices!A:A,0)+4),INDEX(choices!C:C,MATCH(M238,choices!A:A,0)+4),""),IF(M238=INDEX(choices!A:A,MATCH(M238,choices!A:A,0)+4), "
",""),IF(M238=INDEX(choices!A:A,MATCH(M238,choices!A:A,0)+5),INDEX(choices!C:C,MATCH(M238,choices!A:A,0)+5),""),IF(M238=INDEX(choices!A:A,MATCH(M238,choices!A:A,0)+5), "
",""),IF(M238=INDEX(choices!A:A,MATCH(M238,choices!A:A,0)+6),INDEX(choices!C:C,MATCH(M238,choices!A:A,0)+6),""),IF(M238=INDEX(choices!A:A,MATCH(M238,choices!A:A,0)+6), "
",""),IF(M238=INDEX(choices!A:A,MATCH(M238,choices!A:A,0)+7),INDEX(choices!C:C,MATCH(M238,choices!A:A,0)+7),""),IF(M238=INDEX(choices!A:A,MATCH(M238,choices!A:A,0)+7), "
",""),IF(M238=INDEX(choices!A:A,MATCH(M238,choices!A:A,0)+8),INDEX(choices!C:C,MATCH(M238,choices!A:A,0)+8),""),IF(M238=INDEX(choices!A:A,MATCH(M238,choices!A:A,0)+8), "
",""),IF(M238=INDEX(choices!A:A,MATCH(M238,choices!A:A,0)+9),INDEX(choices!C:C,MATCH(M238,choices!A:A,0)+9),""),IF(M238=INDEX(choices!A:A,MATCH(M238,choices!A:A,0)+9), "
",""),IF(M238=INDEX(choices!A:A,MATCH(M238,choices!A:A,0)+10),INDEX(choices!C:C,MATCH(M238,choices!A:A,0)+10),""),IF(M238=INDEX(choices!A:A,MATCH(M238,choices!A:A,0)+10), "
",""),IF(M238=INDEX(choices!A:A,MATCH(M238,choices!A:A,0)+11),INDEX(choices!C:C,MATCH(M238,choices!A:A,0)+11),""),IF(M238=INDEX(choices!A:A,MATCH(M238,choices!A:A,0)+11), "
",""),IF(M238=INDEX(choices!A:A,MATCH(M238,choices!A:A,0)+12),INDEX(choices!C:C,MATCH(M238,choices!A:A,0)+12),""),IF(M238=INDEX(choices!A:A,MATCH(M238,choices!A:A,0)+12), "
",""),IF(M238=INDEX(choices!A:A,MATCH(M238,choices!A:A,0)+13),INDEX(choices!C:C,MATCH(M238,choices!A:A,0)+13),""),IF(M238=INDEX(choices!A:A,MATCH(M238,choices!A:A,0)+13), "
",""),IF(M238=INDEX(choices!A:A,MATCH(M238,choices!A:A,0)+14),INDEX(choices!C:C,MATCH(M238,choices!A:A,0)+14),""),IF(M238=INDEX(choices!A:A,MATCH(M238,choices!A:A,0)+14), "
",""),IF(M238=INDEX(choices!A:A,MATCH(M238,choices!A:A,0)+15),INDEX(choices!C:C,MATCH(M238,choices!A:A,0)+15),""),IF(M238=INDEX(choices!A:A,MATCH(M238,choices!A:A,0)+15), "
",""),IF(M238=INDEX(choices!A:A,MATCH(M238,choices!A:A,0)+16),INDEX(choices!C:C,MATCH(M238,choices!A:A,0)+16),""),IF(M238=INDEX(choices!A:A,MATCH(M238,choices!A:A,0)+16), "
",""),IF(M238=INDEX(choices!A:A,MATCH(M238,choices!A:A,0)+17),INDEX(choices!C:C,MATCH(M238,choices!A:A,0)+17),""),IF(M238=INDEX(choices!A:A,MATCH(M238,choices!A:A,0)+17), "
",""),IF(M238=INDEX(choices!A:A,MATCH(M238,choices!A:A,0)+18),INDEX(choices!C:C,MATCH(M238,choices!A:A,0)+18),""),IF(M238=INDEX(choices!A:A,MATCH(M238,choices!A:A,0)+18), "
",""),IF(M238=INDEX(choices!A:A,MATCH(M238,choices!A:A,0)+19),INDEX(choices!C:C,MATCH(M238,choices!A:A,0)+19),""),IF(M238=INDEX(choices!A:A,MATCH(M238,choices!A:A,0)+19), "
",""),IF(M238=INDEX(choices!A:A,MATCH(M238,choices!A:A,0)+20),INDEX(choices!C:C,MATCH(M238,choices!A:A,0)+20),""),IF(M238=INDEX(choices!A:A,MATCH(M238,choices!A:A,0)+20), "
","")," ")</f>
        <v xml:space="preserve">1. حضر
2. ريف
 </v>
      </c>
      <c r="H238" s="48" t="str">
        <f>CONCATENATE("If ",N238,"=1 --&gt;",A243)</f>
        <v>If q133=1 --&gt;q135</v>
      </c>
      <c r="I238" s="40">
        <f>I206+1</f>
        <v>133</v>
      </c>
      <c r="J238" s="23"/>
      <c r="K238" s="16"/>
      <c r="L238" s="22" t="s">
        <v>18</v>
      </c>
      <c r="M238" s="57" t="s">
        <v>495</v>
      </c>
      <c r="N238" s="19" t="str">
        <f t="shared" ref="N238" si="24">CONCATENATE("q",I238)</f>
        <v>q133</v>
      </c>
      <c r="O238" s="48" t="str">
        <f>CONCATENATE(I238,". ",E238, " ")</f>
        <v xml:space="preserve">133. هل تعيش الأسرة في الحضر أو الريف؟ </v>
      </c>
      <c r="P238" s="85" t="str">
        <f>CONCATENATE(I238, ". ",B238)</f>
        <v>133. Does the household live in an urban or rural area?</v>
      </c>
      <c r="S238" s="63" t="str">
        <f>CONCATENATE("(data('",N163,"') == 1)")</f>
        <v>(data('valid_overall') == 1)</v>
      </c>
      <c r="V238" s="19" t="str">
        <f>CONCATENATE("data('valid_overall') == 0 || selected(data('",N238,"'), '1') ||  (selected(data('",N238,"'), '2') &amp;&amp; ( (data('",N186,"') ==null &amp;&amp; data('", N19,"') !=", CHAR(34), "01_القاهرة  ", CHAR(34), "  &amp;&amp; data('", N19,"') !=", CHAR(34), "02_ الاسكندرية   ", CHAR(34), " &amp;&amp; data('", N19,"') !=", CHAR(34), "03_ بورسعيد  ", CHAR(34), " &amp;&amp; data('", N19,"') !=", CHAR(34), "04_  السويس  ", CHAR(34), "  ) ||  (data('",N186,"') !=null &amp;&amp; data('", N186,"') !=", CHAR(34), "01_القاهرة  ",CHAR(34), "&amp;&amp; data('", N186,"') !=", CHAR(34), "02_ الاسكندرية  ",CHAR(34)," &amp;&amp; data('", N186,"') !=", CHAR(34), "03_ بورسعيد  ",CHAR(34)," &amp;&amp; data('", N186,"') !=", CHAR(34), "04_  السويس  ",CHAR(34), "  ) ) )"  )</f>
        <v>data('valid_overall') == 0 || selected(data('q133'), '1') ||  (selected(data('q133'), '2') &amp;&amp; ( (data('q123') ==null &amp;&amp; data('q101') !="01_القاهرة  "  &amp;&amp; data('q101') !="02_ الاسكندرية   " &amp;&amp; data('q101') !="03_ بورسعيد  " &amp;&amp; data('q101') !="04_  السويس  "  ) ||  (data('q123') !=null &amp;&amp; data('q123') !="01_القاهرة  "&amp;&amp; data('q123') !="02_ الاسكندرية  " &amp;&amp; data('q123') !="03_ بورسعيد  " &amp;&amp; data('q123') !="04_  السويس  "  ) ) )</v>
      </c>
      <c r="W238" s="31" t="s">
        <v>1507</v>
      </c>
      <c r="X238" s="19" t="s">
        <v>1487</v>
      </c>
      <c r="Y238" s="19" t="b">
        <v>1</v>
      </c>
    </row>
    <row r="239" spans="1:25">
      <c r="E239" s="406"/>
      <c r="J239" s="88" t="s">
        <v>23</v>
      </c>
      <c r="K239" s="19" t="str">
        <f>CONCATENATE("selected(data('",N238,"'), '2')")</f>
        <v>selected(data('q133'), '2')</v>
      </c>
    </row>
    <row r="240" spans="1:25" ht="60">
      <c r="A240" s="19" t="str">
        <f>CONCATENATE("q",I240)</f>
        <v>q134</v>
      </c>
      <c r="B240" s="85" t="s">
        <v>493</v>
      </c>
      <c r="C240" s="31"/>
      <c r="D240" s="31" t="str">
        <f>CONCATENATE(INDEX(choices!D:D,MATCH(M240,choices!A:A,0)),"
",IF(M240=INDEX(choices!A:A,MATCH(M240,choices!A:A,0)+1),INDEX(choices!D:D,MATCH(M240,choices!A:A,0)+1),""),IF(M240=INDEX(choices!A:A,MATCH(M240,choices!A:A,0)+1), "
",""),IF(M240=INDEX(choices!A:A,MATCH(M240,choices!A:A,0)+2),INDEX(choices!D:D,MATCH(M240,choices!A:A,0)+2),""),IF(M240=INDEX(choices!A:A,MATCH(M240,choices!A:A,0)+2), "
",""),IF(M240=INDEX(choices!A:A,MATCH(M240,choices!A:A,0)+3),INDEX(choices!D:D,MATCH(M240,choices!A:A,0)+3),""),IF(M240=INDEX(choices!A:A,MATCH(M240,choices!A:A,0)+3), "
",""),IF(M240=INDEX(choices!A:A,MATCH(M240,choices!A:A,0)+4),INDEX(choices!D:D,MATCH(M240,choices!A:A,0)+4),""),IF(M240=INDEX(choices!A:A,MATCH(M240,choices!A:A,0)+4), "
",""),IF(M240=INDEX(choices!A:A,MATCH(M240,choices!A:A,0)+5),INDEX(choices!D:D,MATCH(M240,choices!A:A,0)+5),""),IF(M240=INDEX(choices!A:A,MATCH(M240,choices!A:A,0)+5), "
",""),IF(M240=INDEX(choices!A:A,MATCH(M240,choices!A:A,0)+6),INDEX(choices!D:D,MATCH(M240,choices!A:A,0)+6),""),IF(M240=INDEX(choices!A:A,MATCH(M240,choices!A:A,0)+6), "
",""),IF(M240=INDEX(choices!A:A,MATCH(M240,choices!A:A,0)+7),INDEX(choices!D:D,MATCH(M240,choices!A:A,0)+7),""),IF(M240=INDEX(choices!A:A,MATCH(M240,choices!A:A,0)+7), "
",""),IF(M240=INDEX(choices!A:A,MATCH(M240,choices!A:A,0)+8),INDEX(choices!D:D,MATCH(M240,choices!A:A,0)+8),""),IF(M240=INDEX(choices!A:A,MATCH(M240,choices!A:A,0)+8), "
",""),IF(M240=INDEX(choices!A:A,MATCH(M240,choices!A:A,0)+9),INDEX(choices!D:D,MATCH(M240,choices!A:A,0)+9),""),IF(M240=INDEX(choices!A:A,MATCH(M240,choices!A:A,0)+9), "
",""),IF(M240=INDEX(choices!A:A,MATCH(M240,choices!A:A,0)+10),INDEX(choices!D:D,MATCH(M240,choices!A:A,0)+10),""),IF(M240=INDEX(choices!A:A,MATCH(M240,choices!A:A,0)+10), "
",""),IF(M240=INDEX(choices!A:A,MATCH(M240,choices!A:A,0)+11),INDEX(choices!D:D,MATCH(M240,choices!A:A,0)+11),""),IF(M240=INDEX(choices!A:A,MATCH(M240,choices!A:A,0)+11), "
",""),IF(M240=INDEX(choices!A:A,MATCH(M240,choices!A:A,0)+12),INDEX(choices!D:D,MATCH(M240,choices!A:A,0)+12),""),IF(M240=INDEX(choices!A:A,MATCH(M240,choices!A:A,0)+12), "
",""),IF(M240=INDEX(choices!A:A,MATCH(M240,choices!A:A,0)+13),INDEX(choices!D:D,MATCH(M240,choices!A:A,0)+13),""),IF(M240=INDEX(choices!A:A,MATCH(M240,choices!A:A,0)+13), "
",""),IF(M240=INDEX(choices!A:A,MATCH(M240,choices!A:A,0)+14),INDEX(choices!D:D,MATCH(M240,choices!A:A,0)+14),""),IF(M240=INDEX(choices!A:A,MATCH(M240,choices!A:A,0)+14), "
",""),IF(M240=INDEX(choices!A:A,MATCH(M240,choices!A:A,0)+15),INDEX(choices!D:D,MATCH(M240,choices!A:A,0)+15),""),IF(M240=INDEX(choices!A:A,MATCH(M240,choices!A:A,0)+15), "
",""),IF(M240=INDEX(choices!A:A,MATCH(M240,choices!A:A,0)+16),INDEX(choices!D:D,MATCH(M240,choices!A:A,0)+16),""),IF(M240=INDEX(choices!A:A,MATCH(M240,choices!A:A,0)+16), "
",""),IF(M240=INDEX(choices!A:A,MATCH(M240,choices!A:A,0)+17),INDEX(choices!D:D,MATCH(M240,choices!A:A,0)+17),""),IF(M240=INDEX(choices!A:A,MATCH(M240,choices!A:A,0)+17), "
",""),IF(M240=INDEX(choices!A:A,MATCH(M240,choices!A:A,0)+18),INDEX(choices!D:D,MATCH(M240,choices!A:A,0)+18),""),IF(M240=INDEX(choices!A:A,MATCH(M240,choices!A:A,0)+18), "
",""),IF(M240=INDEX(choices!A:A,MATCH(M240,choices!A:A,0)+19),INDEX(choices!D:D,MATCH(M240,choices!A:A,0)+19),""),IF(M240=INDEX(choices!A:A,MATCH(M240,choices!A:A,0)+19), "
",""),IF(M240=INDEX(choices!A:A,MATCH(M240,choices!A:A,0)+20),INDEX(choices!D:D,MATCH(M240,choices!A:A,0)+20),""),IF(M240=INDEX(choices!A:A,MATCH(M240,choices!A:A,0)+20), "
",""))</f>
        <v xml:space="preserve">1. Mother village
2. Hamlet
</v>
      </c>
      <c r="E240" s="405" t="s">
        <v>1083</v>
      </c>
      <c r="F240" s="410"/>
      <c r="G240" s="48" t="str">
        <f>CONCATENATE(INDEX(choices!C:C,MATCH(M240,choices!A:A,0)),"
",IF(M240=INDEX(choices!A:A,MATCH(M240,choices!A:A,0)+1),INDEX(choices!C:C,MATCH(M240,choices!A:A,0)+1),""),IF(M240=INDEX(choices!A:A,MATCH(M240,choices!A:A,0)+1), "
",""),IF(M240=INDEX(choices!A:A,MATCH(M240,choices!A:A,0)+2),INDEX(choices!C:C,MATCH(M240,choices!A:A,0)+2),""),IF(M240=INDEX(choices!A:A,MATCH(M240,choices!A:A,0)+2), "
",""),IF(M240=INDEX(choices!A:A,MATCH(M240,choices!A:A,0)+3),INDEX(choices!C:C,MATCH(M240,choices!A:A,0)+3),""),IF(M240=INDEX(choices!A:A,MATCH(M240,choices!A:A,0)+3), "
",""),IF(M240=INDEX(choices!A:A,MATCH(M240,choices!A:A,0)+4),INDEX(choices!C:C,MATCH(M240,choices!A:A,0)+4),""),IF(M240=INDEX(choices!A:A,MATCH(M240,choices!A:A,0)+4), "
",""),IF(M240=INDEX(choices!A:A,MATCH(M240,choices!A:A,0)+5),INDEX(choices!C:C,MATCH(M240,choices!A:A,0)+5),""),IF(M240=INDEX(choices!A:A,MATCH(M240,choices!A:A,0)+5), "
",""),IF(M240=INDEX(choices!A:A,MATCH(M240,choices!A:A,0)+6),INDEX(choices!C:C,MATCH(M240,choices!A:A,0)+6),""),IF(M240=INDEX(choices!A:A,MATCH(M240,choices!A:A,0)+6), "
",""),IF(M240=INDEX(choices!A:A,MATCH(M240,choices!A:A,0)+7),INDEX(choices!C:C,MATCH(M240,choices!A:A,0)+7),""),IF(M240=INDEX(choices!A:A,MATCH(M240,choices!A:A,0)+7), "
",""),IF(M240=INDEX(choices!A:A,MATCH(M240,choices!A:A,0)+8),INDEX(choices!C:C,MATCH(M240,choices!A:A,0)+8),""),IF(M240=INDEX(choices!A:A,MATCH(M240,choices!A:A,0)+8), "
",""),IF(M240=INDEX(choices!A:A,MATCH(M240,choices!A:A,0)+9),INDEX(choices!C:C,MATCH(M240,choices!A:A,0)+9),""),IF(M240=INDEX(choices!A:A,MATCH(M240,choices!A:A,0)+9), "
",""),IF(M240=INDEX(choices!A:A,MATCH(M240,choices!A:A,0)+10),INDEX(choices!C:C,MATCH(M240,choices!A:A,0)+10),""),IF(M240=INDEX(choices!A:A,MATCH(M240,choices!A:A,0)+10), "
",""),IF(M240=INDEX(choices!A:A,MATCH(M240,choices!A:A,0)+11),INDEX(choices!C:C,MATCH(M240,choices!A:A,0)+11),""),IF(M240=INDEX(choices!A:A,MATCH(M240,choices!A:A,0)+11), "
",""),IF(M240=INDEX(choices!A:A,MATCH(M240,choices!A:A,0)+12),INDEX(choices!C:C,MATCH(M240,choices!A:A,0)+12),""),IF(M240=INDEX(choices!A:A,MATCH(M240,choices!A:A,0)+12), "
",""),IF(M240=INDEX(choices!A:A,MATCH(M240,choices!A:A,0)+13),INDEX(choices!C:C,MATCH(M240,choices!A:A,0)+13),""),IF(M240=INDEX(choices!A:A,MATCH(M240,choices!A:A,0)+13), "
",""),IF(M240=INDEX(choices!A:A,MATCH(M240,choices!A:A,0)+14),INDEX(choices!C:C,MATCH(M240,choices!A:A,0)+14),""),IF(M240=INDEX(choices!A:A,MATCH(M240,choices!A:A,0)+14), "
",""),IF(M240=INDEX(choices!A:A,MATCH(M240,choices!A:A,0)+15),INDEX(choices!C:C,MATCH(M240,choices!A:A,0)+15),""),IF(M240=INDEX(choices!A:A,MATCH(M240,choices!A:A,0)+15), "
",""),IF(M240=INDEX(choices!A:A,MATCH(M240,choices!A:A,0)+16),INDEX(choices!C:C,MATCH(M240,choices!A:A,0)+16),""),IF(M240=INDEX(choices!A:A,MATCH(M240,choices!A:A,0)+16), "
",""),IF(M240=INDEX(choices!A:A,MATCH(M240,choices!A:A,0)+17),INDEX(choices!C:C,MATCH(M240,choices!A:A,0)+17),""),IF(M240=INDEX(choices!A:A,MATCH(M240,choices!A:A,0)+17), "
",""),IF(M240=INDEX(choices!A:A,MATCH(M240,choices!A:A,0)+18),INDEX(choices!C:C,MATCH(M240,choices!A:A,0)+18),""),IF(M240=INDEX(choices!A:A,MATCH(M240,choices!A:A,0)+18), "
",""),IF(M240=INDEX(choices!A:A,MATCH(M240,choices!A:A,0)+19),INDEX(choices!C:C,MATCH(M240,choices!A:A,0)+19),""),IF(M240=INDEX(choices!A:A,MATCH(M240,choices!A:A,0)+19), "
",""),IF(M240=INDEX(choices!A:A,MATCH(M240,choices!A:A,0)+20),INDEX(choices!C:C,MATCH(M240,choices!A:A,0)+20),""),IF(M240=INDEX(choices!A:A,MATCH(M240,choices!A:A,0)+20), "
","")," ")</f>
        <v xml:space="preserve">1. قرية أم
2. تابع
 </v>
      </c>
      <c r="H240" s="48" t="str">
        <f>"--&gt; next section"</f>
        <v>--&gt; next section</v>
      </c>
      <c r="I240" s="19">
        <f>I238+1</f>
        <v>134</v>
      </c>
      <c r="J240" s="88"/>
      <c r="L240" s="22" t="s">
        <v>18</v>
      </c>
      <c r="M240" s="19" t="s">
        <v>496</v>
      </c>
      <c r="N240" s="19" t="str">
        <f t="shared" ref="N240" si="25">CONCATENATE("q",I240)</f>
        <v>q134</v>
      </c>
      <c r="O240" s="48" t="str">
        <f>CONCATENATE(I240,". ",E240, " ")</f>
        <v xml:space="preserve">134. هل تعيش الأسرة في قرية أم أو تابع؟ </v>
      </c>
      <c r="P240" s="85" t="str">
        <f>CONCATENATE(I240, ". ",B240)</f>
        <v>134. Does the household live in the mother village or a hamlet?</v>
      </c>
      <c r="S240" s="31" t="str">
        <f>CONCATENATE(K239, " &amp;&amp; ", S238)</f>
        <v>selected(data('q133'), '2') &amp;&amp; (data('valid_overall') == 1)</v>
      </c>
      <c r="Y240" s="19" t="b">
        <v>1</v>
      </c>
    </row>
    <row r="241" spans="1:25">
      <c r="J241" s="88" t="s">
        <v>42</v>
      </c>
    </row>
    <row r="242" spans="1:25">
      <c r="E242" s="406"/>
      <c r="J242" s="88" t="s">
        <v>23</v>
      </c>
      <c r="K242" s="19" t="str">
        <f>CONCATENATE("selected(data('",N238,"'), '1')")</f>
        <v>selected(data('q133'), '1')</v>
      </c>
    </row>
    <row r="243" spans="1:25" ht="60">
      <c r="A243" s="19" t="str">
        <f>CONCATENATE("q",I243)</f>
        <v>q135</v>
      </c>
      <c r="B243" s="85" t="s">
        <v>1314</v>
      </c>
      <c r="C243" s="31"/>
      <c r="D243" s="31" t="str">
        <f>CONCATENATE(INDEX(choices!D:D,MATCH(M243,choices!A:A,0)),"
",IF(M243=INDEX(choices!A:A,MATCH(M243,choices!A:A,0)+1),INDEX(choices!D:D,MATCH(M243,choices!A:A,0)+1),""),IF(M243=INDEX(choices!A:A,MATCH(M243,choices!A:A,0)+1), "
",""),IF(M243=INDEX(choices!A:A,MATCH(M243,choices!A:A,0)+2),INDEX(choices!D:D,MATCH(M243,choices!A:A,0)+2),""),IF(M243=INDEX(choices!A:A,MATCH(M243,choices!A:A,0)+2), "
",""),IF(M243=INDEX(choices!A:A,MATCH(M243,choices!A:A,0)+3),INDEX(choices!D:D,MATCH(M243,choices!A:A,0)+3),""),IF(M243=INDEX(choices!A:A,MATCH(M243,choices!A:A,0)+3), "
",""),IF(M243=INDEX(choices!A:A,MATCH(M243,choices!A:A,0)+4),INDEX(choices!D:D,MATCH(M243,choices!A:A,0)+4),""),IF(M243=INDEX(choices!A:A,MATCH(M243,choices!A:A,0)+4), "
",""),IF(M243=INDEX(choices!A:A,MATCH(M243,choices!A:A,0)+5),INDEX(choices!D:D,MATCH(M243,choices!A:A,0)+5),""),IF(M243=INDEX(choices!A:A,MATCH(M243,choices!A:A,0)+5), "
",""),IF(M243=INDEX(choices!A:A,MATCH(M243,choices!A:A,0)+6),INDEX(choices!D:D,MATCH(M243,choices!A:A,0)+6),""),IF(M243=INDEX(choices!A:A,MATCH(M243,choices!A:A,0)+6), "
",""),IF(M243=INDEX(choices!A:A,MATCH(M243,choices!A:A,0)+7),INDEX(choices!D:D,MATCH(M243,choices!A:A,0)+7),""),IF(M243=INDEX(choices!A:A,MATCH(M243,choices!A:A,0)+7), "
",""),IF(M243=INDEX(choices!A:A,MATCH(M243,choices!A:A,0)+8),INDEX(choices!D:D,MATCH(M243,choices!A:A,0)+8),""),IF(M243=INDEX(choices!A:A,MATCH(M243,choices!A:A,0)+8), "
",""),IF(M243=INDEX(choices!A:A,MATCH(M243,choices!A:A,0)+9),INDEX(choices!D:D,MATCH(M243,choices!A:A,0)+9),""),IF(M243=INDEX(choices!A:A,MATCH(M243,choices!A:A,0)+9), "
",""),IF(M243=INDEX(choices!A:A,MATCH(M243,choices!A:A,0)+10),INDEX(choices!D:D,MATCH(M243,choices!A:A,0)+10),""),IF(M243=INDEX(choices!A:A,MATCH(M243,choices!A:A,0)+10), "
",""),IF(M243=INDEX(choices!A:A,MATCH(M243,choices!A:A,0)+11),INDEX(choices!D:D,MATCH(M243,choices!A:A,0)+11),""),IF(M243=INDEX(choices!A:A,MATCH(M243,choices!A:A,0)+11), "
",""),IF(M243=INDEX(choices!A:A,MATCH(M243,choices!A:A,0)+12),INDEX(choices!D:D,MATCH(M243,choices!A:A,0)+12),""),IF(M243=INDEX(choices!A:A,MATCH(M243,choices!A:A,0)+12), "
",""),IF(M243=INDEX(choices!A:A,MATCH(M243,choices!A:A,0)+13),INDEX(choices!D:D,MATCH(M243,choices!A:A,0)+13),""),IF(M243=INDEX(choices!A:A,MATCH(M243,choices!A:A,0)+13), "
",""),IF(M243=INDEX(choices!A:A,MATCH(M243,choices!A:A,0)+14),INDEX(choices!D:D,MATCH(M243,choices!A:A,0)+14),""),IF(M243=INDEX(choices!A:A,MATCH(M243,choices!A:A,0)+14), "
",""),IF(M243=INDEX(choices!A:A,MATCH(M243,choices!A:A,0)+15),INDEX(choices!D:D,MATCH(M243,choices!A:A,0)+15),""),IF(M243=INDEX(choices!A:A,MATCH(M243,choices!A:A,0)+15), "
",""),IF(M243=INDEX(choices!A:A,MATCH(M243,choices!A:A,0)+16),INDEX(choices!D:D,MATCH(M243,choices!A:A,0)+16),""),IF(M243=INDEX(choices!A:A,MATCH(M243,choices!A:A,0)+16), "
",""),IF(M243=INDEX(choices!A:A,MATCH(M243,choices!A:A,0)+17),INDEX(choices!D:D,MATCH(M243,choices!A:A,0)+17),""),IF(M243=INDEX(choices!A:A,MATCH(M243,choices!A:A,0)+17), "
",""),IF(M243=INDEX(choices!A:A,MATCH(M243,choices!A:A,0)+18),INDEX(choices!D:D,MATCH(M243,choices!A:A,0)+18),""),IF(M243=INDEX(choices!A:A,MATCH(M243,choices!A:A,0)+18), "
",""),IF(M243=INDEX(choices!A:A,MATCH(M243,choices!A:A,0)+19),INDEX(choices!D:D,MATCH(M243,choices!A:A,0)+19),""),IF(M243=INDEX(choices!A:A,MATCH(M243,choices!A:A,0)+19), "
",""),IF(M243=INDEX(choices!A:A,MATCH(M243,choices!A:A,0)+20),INDEX(choices!D:D,MATCH(M243,choices!A:A,0)+20),""),IF(M243=INDEX(choices!A:A,MATCH(M243,choices!A:A,0)+20), "
",""))</f>
        <v xml:space="preserve">1. Formal
2. Informal
</v>
      </c>
      <c r="E243" s="402" t="s">
        <v>1506</v>
      </c>
      <c r="F243" s="410"/>
      <c r="G243" s="48" t="str">
        <f>CONCATENATE(INDEX(choices!C:C,MATCH(M243,choices!A:A,0)),"
",IF(M243=INDEX(choices!A:A,MATCH(M243,choices!A:A,0)+1),INDEX(choices!C:C,MATCH(M243,choices!A:A,0)+1),""),IF(M243=INDEX(choices!A:A,MATCH(M243,choices!A:A,0)+1), "
",""),IF(M243=INDEX(choices!A:A,MATCH(M243,choices!A:A,0)+2),INDEX(choices!C:C,MATCH(M243,choices!A:A,0)+2),""),IF(M243=INDEX(choices!A:A,MATCH(M243,choices!A:A,0)+2), "
",""),IF(M243=INDEX(choices!A:A,MATCH(M243,choices!A:A,0)+3),INDEX(choices!C:C,MATCH(M243,choices!A:A,0)+3),""),IF(M243=INDEX(choices!A:A,MATCH(M243,choices!A:A,0)+3), "
",""),IF(M243=INDEX(choices!A:A,MATCH(M243,choices!A:A,0)+4),INDEX(choices!C:C,MATCH(M243,choices!A:A,0)+4),""),IF(M243=INDEX(choices!A:A,MATCH(M243,choices!A:A,0)+4), "
",""),IF(M243=INDEX(choices!A:A,MATCH(M243,choices!A:A,0)+5),INDEX(choices!C:C,MATCH(M243,choices!A:A,0)+5),""),IF(M243=INDEX(choices!A:A,MATCH(M243,choices!A:A,0)+5), "
",""),IF(M243=INDEX(choices!A:A,MATCH(M243,choices!A:A,0)+6),INDEX(choices!C:C,MATCH(M243,choices!A:A,0)+6),""),IF(M243=INDEX(choices!A:A,MATCH(M243,choices!A:A,0)+6), "
",""),IF(M243=INDEX(choices!A:A,MATCH(M243,choices!A:A,0)+7),INDEX(choices!C:C,MATCH(M243,choices!A:A,0)+7),""),IF(M243=INDEX(choices!A:A,MATCH(M243,choices!A:A,0)+7), "
",""),IF(M243=INDEX(choices!A:A,MATCH(M243,choices!A:A,0)+8),INDEX(choices!C:C,MATCH(M243,choices!A:A,0)+8),""),IF(M243=INDEX(choices!A:A,MATCH(M243,choices!A:A,0)+8), "
",""),IF(M243=INDEX(choices!A:A,MATCH(M243,choices!A:A,0)+9),INDEX(choices!C:C,MATCH(M243,choices!A:A,0)+9),""),IF(M243=INDEX(choices!A:A,MATCH(M243,choices!A:A,0)+9), "
",""),IF(M243=INDEX(choices!A:A,MATCH(M243,choices!A:A,0)+10),INDEX(choices!C:C,MATCH(M243,choices!A:A,0)+10),""),IF(M243=INDEX(choices!A:A,MATCH(M243,choices!A:A,0)+10), "
",""),IF(M243=INDEX(choices!A:A,MATCH(M243,choices!A:A,0)+11),INDEX(choices!C:C,MATCH(M243,choices!A:A,0)+11),""),IF(M243=INDEX(choices!A:A,MATCH(M243,choices!A:A,0)+11), "
",""),IF(M243=INDEX(choices!A:A,MATCH(M243,choices!A:A,0)+12),INDEX(choices!C:C,MATCH(M243,choices!A:A,0)+12),""),IF(M243=INDEX(choices!A:A,MATCH(M243,choices!A:A,0)+12), "
",""),IF(M243=INDEX(choices!A:A,MATCH(M243,choices!A:A,0)+13),INDEX(choices!C:C,MATCH(M243,choices!A:A,0)+13),""),IF(M243=INDEX(choices!A:A,MATCH(M243,choices!A:A,0)+13), "
",""),IF(M243=INDEX(choices!A:A,MATCH(M243,choices!A:A,0)+14),INDEX(choices!C:C,MATCH(M243,choices!A:A,0)+14),""),IF(M243=INDEX(choices!A:A,MATCH(M243,choices!A:A,0)+14), "
",""),IF(M243=INDEX(choices!A:A,MATCH(M243,choices!A:A,0)+15),INDEX(choices!C:C,MATCH(M243,choices!A:A,0)+15),""),IF(M243=INDEX(choices!A:A,MATCH(M243,choices!A:A,0)+15), "
",""),IF(M243=INDEX(choices!A:A,MATCH(M243,choices!A:A,0)+16),INDEX(choices!C:C,MATCH(M243,choices!A:A,0)+16),""),IF(M243=INDEX(choices!A:A,MATCH(M243,choices!A:A,0)+16), "
",""),IF(M243=INDEX(choices!A:A,MATCH(M243,choices!A:A,0)+17),INDEX(choices!C:C,MATCH(M243,choices!A:A,0)+17),""),IF(M243=INDEX(choices!A:A,MATCH(M243,choices!A:A,0)+17), "
",""),IF(M243=INDEX(choices!A:A,MATCH(M243,choices!A:A,0)+18),INDEX(choices!C:C,MATCH(M243,choices!A:A,0)+18),""),IF(M243=INDEX(choices!A:A,MATCH(M243,choices!A:A,0)+18), "
",""),IF(M243=INDEX(choices!A:A,MATCH(M243,choices!A:A,0)+19),INDEX(choices!C:C,MATCH(M243,choices!A:A,0)+19),""),IF(M243=INDEX(choices!A:A,MATCH(M243,choices!A:A,0)+19), "
",""),IF(M243=INDEX(choices!A:A,MATCH(M243,choices!A:A,0)+20),INDEX(choices!C:C,MATCH(M243,choices!A:A,0)+20),""),IF(M243=INDEX(choices!A:A,MATCH(M243,choices!A:A,0)+20), "
","")," ")</f>
        <v xml:space="preserve">1. منطقة مخططة
2. منطقة غير مخططة  -- عشوائية
 </v>
      </c>
      <c r="I243" s="19">
        <f>I240+1</f>
        <v>135</v>
      </c>
      <c r="J243" s="88"/>
      <c r="L243" s="22" t="s">
        <v>18</v>
      </c>
      <c r="M243" s="19" t="s">
        <v>1311</v>
      </c>
      <c r="N243" s="19" t="str">
        <f t="shared" ref="N243" si="26">CONCATENATE("q",I243)</f>
        <v>q135</v>
      </c>
      <c r="O243" s="48" t="str">
        <f>CONCATENATE(I243,". ",E243, " ")</f>
        <v xml:space="preserve">135. هل تعيش الأسرة في منطقة مخططة أو منطقة غير مخططة (عشوائية)؟ </v>
      </c>
      <c r="P243" s="85" t="str">
        <f>CONCATENATE(I243, ". ",B243)</f>
        <v>135. Does the household live in a formal area or an informal area?</v>
      </c>
      <c r="S243" s="31" t="str">
        <f>CONCATENATE(K242, " &amp;&amp; ", S238)</f>
        <v>selected(data('q133'), '1') &amp;&amp; (data('valid_overall') == 1)</v>
      </c>
      <c r="Y243" s="19" t="b">
        <v>1</v>
      </c>
    </row>
    <row r="244" spans="1:25">
      <c r="J244" s="88" t="s">
        <v>42</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topLeftCell="G1" workbookViewId="0">
      <pane ySplit="2" topLeftCell="A17" activePane="bottomLeft" state="frozen"/>
      <selection activeCell="A3" sqref="A3:A5"/>
      <selection pane="bottomLeft" activeCell="L23" sqref="L23:M23"/>
    </sheetView>
  </sheetViews>
  <sheetFormatPr defaultColWidth="8.85546875" defaultRowHeight="15"/>
  <cols>
    <col min="1" max="1" width="17.42578125" style="30" customWidth="1"/>
    <col min="2" max="8" width="17.140625" style="30" customWidth="1"/>
    <col min="9" max="9" width="12.42578125" style="30" bestFit="1" customWidth="1"/>
    <col min="10" max="10" width="9.140625" style="30" bestFit="1" customWidth="1"/>
    <col min="11" max="11" width="18.42578125" style="30" bestFit="1" customWidth="1"/>
    <col min="12" max="12" width="13.42578125" style="30" bestFit="1" customWidth="1"/>
    <col min="13" max="13" width="26.7109375" style="30" bestFit="1" customWidth="1"/>
    <col min="14" max="14" width="18.42578125" style="30" bestFit="1" customWidth="1"/>
    <col min="15" max="16" width="22.42578125" style="30" bestFit="1" customWidth="1"/>
    <col min="17" max="17" width="13.7109375" style="30" bestFit="1" customWidth="1"/>
    <col min="18" max="18" width="21" style="30" bestFit="1" customWidth="1"/>
    <col min="19" max="19" width="23.28515625" style="30" bestFit="1" customWidth="1"/>
    <col min="20" max="20" width="13.28515625" style="30" bestFit="1" customWidth="1"/>
    <col min="21" max="21" width="14.42578125" style="30" bestFit="1" customWidth="1"/>
    <col min="22" max="22" width="25.42578125" style="30" bestFit="1" customWidth="1"/>
    <col min="23" max="24" width="15.85546875" style="30" customWidth="1"/>
    <col min="25" max="25" width="14.42578125" style="30" bestFit="1" customWidth="1"/>
    <col min="26" max="26" width="11.85546875" style="30" bestFit="1" customWidth="1"/>
    <col min="27" max="27" width="25.42578125" style="30" bestFit="1" customWidth="1"/>
    <col min="28" max="28" width="32.85546875" style="30" bestFit="1" customWidth="1"/>
    <col min="29" max="16384" width="8.85546875" style="30"/>
  </cols>
  <sheetData>
    <row r="1" spans="1:27" s="332" customFormat="1" ht="30">
      <c r="A1" s="332" t="s">
        <v>5</v>
      </c>
      <c r="B1" s="332" t="s">
        <v>5</v>
      </c>
      <c r="C1" s="332" t="s">
        <v>5</v>
      </c>
      <c r="D1" s="332" t="s">
        <v>5</v>
      </c>
      <c r="E1" s="332" t="s">
        <v>5</v>
      </c>
      <c r="F1" s="332" t="s">
        <v>5</v>
      </c>
      <c r="G1" s="332" t="s">
        <v>5</v>
      </c>
      <c r="H1" s="332" t="s">
        <v>5</v>
      </c>
      <c r="I1" s="332" t="s">
        <v>5</v>
      </c>
      <c r="J1" s="334" t="s">
        <v>0</v>
      </c>
      <c r="K1" s="334" t="s">
        <v>1</v>
      </c>
      <c r="L1" s="332" t="s">
        <v>2</v>
      </c>
      <c r="M1" s="332" t="s">
        <v>3</v>
      </c>
      <c r="N1" s="332" t="s">
        <v>4</v>
      </c>
      <c r="O1" s="332" t="s">
        <v>1282</v>
      </c>
      <c r="P1" s="332" t="s">
        <v>1283</v>
      </c>
      <c r="Q1" s="62" t="s">
        <v>1286</v>
      </c>
      <c r="R1" s="62" t="s">
        <v>1287</v>
      </c>
      <c r="S1" s="332" t="s">
        <v>7</v>
      </c>
      <c r="T1" s="332" t="s">
        <v>47</v>
      </c>
      <c r="U1" s="332" t="s">
        <v>148</v>
      </c>
      <c r="V1" s="332" t="s">
        <v>25</v>
      </c>
      <c r="W1" s="52" t="s">
        <v>1288</v>
      </c>
      <c r="X1" s="52" t="s">
        <v>1289</v>
      </c>
      <c r="Y1" s="332" t="s">
        <v>6</v>
      </c>
      <c r="Z1" s="160" t="s">
        <v>374</v>
      </c>
      <c r="AA1" s="160" t="s">
        <v>375</v>
      </c>
    </row>
    <row r="2" spans="1:27" s="94" customFormat="1" ht="45">
      <c r="A2" s="102" t="s">
        <v>353</v>
      </c>
      <c r="B2" s="95" t="s">
        <v>354</v>
      </c>
      <c r="C2" s="102" t="s">
        <v>1187</v>
      </c>
      <c r="D2" s="95" t="s">
        <v>358</v>
      </c>
      <c r="E2" s="95" t="s">
        <v>355</v>
      </c>
      <c r="F2" s="102" t="s">
        <v>1186</v>
      </c>
      <c r="G2" s="102" t="s">
        <v>357</v>
      </c>
      <c r="H2" s="74" t="s">
        <v>356</v>
      </c>
      <c r="I2" s="74" t="s">
        <v>426</v>
      </c>
      <c r="J2" s="101"/>
      <c r="K2" s="101"/>
      <c r="Z2" s="161"/>
      <c r="AA2" s="161"/>
    </row>
    <row r="3" spans="1:27" s="94" customFormat="1">
      <c r="A3" s="104" t="s">
        <v>364</v>
      </c>
      <c r="B3" s="104" t="s">
        <v>365</v>
      </c>
      <c r="C3" s="104" t="s">
        <v>364</v>
      </c>
      <c r="D3" s="104" t="s">
        <v>364</v>
      </c>
      <c r="E3" s="104" t="s">
        <v>365</v>
      </c>
      <c r="F3" s="104" t="s">
        <v>364</v>
      </c>
      <c r="G3" s="104" t="s">
        <v>364</v>
      </c>
      <c r="H3" s="223" t="s">
        <v>364</v>
      </c>
      <c r="I3" s="223" t="s">
        <v>364</v>
      </c>
      <c r="J3" s="101"/>
      <c r="K3" s="101"/>
      <c r="Z3" s="161"/>
      <c r="AA3" s="161"/>
    </row>
    <row r="4" spans="1:27" s="94" customFormat="1">
      <c r="A4" s="95"/>
      <c r="J4" s="101"/>
      <c r="K4" s="101"/>
      <c r="Z4" s="161"/>
      <c r="AA4" s="161"/>
    </row>
    <row r="5" spans="1:27">
      <c r="H5" s="30" t="str">
        <f>CONCATENATE("Only answer section if ",K5)</f>
        <v>Only answer section if data('q10')==="no"</v>
      </c>
      <c r="J5" s="364" t="s">
        <v>23</v>
      </c>
      <c r="K5" s="30" t="str">
        <f>CONCATENATE("data('",'1_0_statistical_identification'!N7,"')===""no",CHAR(34))</f>
        <v>data('q10')==="no"</v>
      </c>
      <c r="Z5" s="106"/>
      <c r="AA5" s="106"/>
    </row>
    <row r="6" spans="1:27" ht="45">
      <c r="B6" s="30" t="s">
        <v>1300</v>
      </c>
      <c r="E6" s="443" t="s">
        <v>1373</v>
      </c>
      <c r="H6" s="30" t="str">
        <f>CONCATENATE("Go to ",queries!E2)</f>
        <v>Go to quest1_02_0</v>
      </c>
      <c r="L6" s="30" t="s">
        <v>60</v>
      </c>
      <c r="M6" s="30" t="s">
        <v>203</v>
      </c>
      <c r="O6" s="30" t="str">
        <f>E6</f>
        <v xml:space="preserve">0.2 تتبع الانشقاقات </v>
      </c>
      <c r="P6" s="30" t="str">
        <f>B6</f>
        <v>0.2 2012 household members</v>
      </c>
      <c r="S6" s="30" t="str">
        <f>CONCATENATE("data('q10')===",CHAR(34),"no",CHAR(34),," &amp;&amp; ", "(data('",,'1_0_statistical_identification'!N163,"'), '1')")</f>
        <v>data('q10')==="no" &amp;&amp; (data('valid_overall'), '1')</v>
      </c>
      <c r="Z6" s="302" t="b">
        <v>1</v>
      </c>
      <c r="AA6" s="302" t="b">
        <v>1</v>
      </c>
    </row>
    <row r="7" spans="1:27" ht="30">
      <c r="J7" s="30" t="s">
        <v>20</v>
      </c>
      <c r="Z7" s="302"/>
      <c r="AA7" s="302"/>
    </row>
    <row r="8" spans="1:27" ht="30">
      <c r="L8" s="63" t="s">
        <v>376</v>
      </c>
      <c r="M8" s="30" t="s">
        <v>377</v>
      </c>
      <c r="N8" s="30" t="s">
        <v>380</v>
      </c>
      <c r="S8" s="30" t="str">
        <f>CONCATENATE("data('q10')===",CHAR(34),"no",CHAR(34),," &amp;&amp; ", "(data('",,'1_0_statistical_identification'!N163,"'), '1')")</f>
        <v>data('q10')==="no" &amp;&amp; (data('valid_overall'), '1')</v>
      </c>
      <c r="Y8" s="30" t="b">
        <v>1</v>
      </c>
      <c r="Z8" s="302"/>
      <c r="AA8" s="302"/>
    </row>
    <row r="9" spans="1:27" ht="120">
      <c r="B9" s="30" t="str">
        <f>CONCATENATE("There were {{data.",'1_0_statistical_identification'!A83,"}} individuals in 2012 and you have completed {{data.",N8,"}} individuals")</f>
        <v>There were {{data.q110_3}} individuals in 2012 and you have completed {{data.zcheck_roster_2012}} individuals</v>
      </c>
      <c r="E9" s="30" t="str">
        <f>CONCATENATE(" بلغ عدد الأفراد  {{data.",'1_0_statistical_identification'!A83,"}} فى عام 2012 وقد تم استيفاء بيانات  {{data.",N8,"}} أفراد")</f>
        <v xml:space="preserve"> بلغ عدد الأفراد  {{data.q110_3}} فى عام 2012 وقد تم استيفاء بيانات  {{data.zcheck_roster_2012}} أفراد</v>
      </c>
      <c r="F9" s="18"/>
      <c r="L9" s="30" t="s">
        <v>22</v>
      </c>
      <c r="O9" s="30" t="str">
        <f>E9</f>
        <v xml:space="preserve"> بلغ عدد الأفراد  {{data.q110_3}} فى عام 2012 وقد تم استيفاء بيانات  {{data.zcheck_roster_2012}} أفراد</v>
      </c>
      <c r="P9" s="30" t="str">
        <f>B9</f>
        <v>There were {{data.q110_3}} individuals in 2012 and you have completed {{data.zcheck_roster_2012}} individuals</v>
      </c>
      <c r="Y9" s="30" t="b">
        <v>1</v>
      </c>
      <c r="Z9" s="302"/>
      <c r="AA9" s="302"/>
    </row>
    <row r="10" spans="1:27" ht="30">
      <c r="J10" s="30" t="s">
        <v>21</v>
      </c>
      <c r="Z10" s="302"/>
      <c r="AA10" s="302"/>
    </row>
    <row r="11" spans="1:27" ht="45">
      <c r="J11" s="107" t="s">
        <v>23</v>
      </c>
      <c r="K11" s="30" t="str">
        <f>CONCATENATE("data('",'1_0_statistical_identification'!A83,"') !== data('",'2_0_tracking_splits'!N8,"')")</f>
        <v>data('q110_3') !== data('zcheck_roster_2012')</v>
      </c>
      <c r="Z11" s="302"/>
      <c r="AA11" s="302"/>
    </row>
    <row r="12" spans="1:27" ht="30">
      <c r="J12" s="30" t="s">
        <v>20</v>
      </c>
      <c r="Z12" s="302"/>
      <c r="AA12" s="302"/>
    </row>
    <row r="13" spans="1:27" ht="75">
      <c r="B13" s="30" t="s">
        <v>385</v>
      </c>
      <c r="C13" s="48" t="str">
        <f>CONCATENATE("Constraints: ", X13,)</f>
        <v>Constraints: Need to finalize all individuals from 2012 before continuing</v>
      </c>
      <c r="E13" s="30" t="s">
        <v>1084</v>
      </c>
      <c r="F13" s="48" t="str">
        <f>CONCATENATE("Constraints: ", W13,)</f>
        <v>Constraints: يلزم الانتهاء من جميع أفراد الأسرة في عام 2012 قبل المتابعة</v>
      </c>
      <c r="L13" s="49" t="s">
        <v>18</v>
      </c>
      <c r="M13" s="19" t="s">
        <v>1594</v>
      </c>
      <c r="N13" s="30" t="s">
        <v>381</v>
      </c>
      <c r="O13" s="30" t="str">
        <f>E13</f>
        <v>يلزم الانتهاء من جميع أفراد الأسرة في عام 2012 قبل المتابعة</v>
      </c>
      <c r="P13" s="30" t="str">
        <f>B13</f>
        <v>Need to finalize all individuals from 2012 before continuing</v>
      </c>
      <c r="S13" s="30" t="str">
        <f>CONCATENATE("data('q10')===",CHAR(34),"no",CHAR(34),," &amp;&amp; ", "(data('",,'1_0_statistical_identification'!N163,"') == 1) &amp;&amp; ",K11)</f>
        <v>data('q10')==="no" &amp;&amp; (data('valid_overall') == 1) &amp;&amp; data('q110_3') !== data('zcheck_roster_2012')</v>
      </c>
      <c r="V13" s="30" t="str">
        <f>CONCATENATE("(data('",'1_0_statistical_identification'!N163,"') == 0) || data('q10')===",CHAR(34),"yes",CHAR(34)," || (data('",'1_0_statistical_identification'!A83,"') === data('",'2_0_tracking_splits'!N8,"'))")</f>
        <v>(data('valid_overall') == 0) || data('q10')==="yes" || (data('q110_3') === data('zcheck_roster_2012'))</v>
      </c>
      <c r="W13" s="30" t="str">
        <f>E13</f>
        <v>يلزم الانتهاء من جميع أفراد الأسرة في عام 2012 قبل المتابعة</v>
      </c>
      <c r="X13" s="30" t="str">
        <f>B13</f>
        <v>Need to finalize all individuals from 2012 before continuing</v>
      </c>
      <c r="Y13" s="30" t="b">
        <v>1</v>
      </c>
      <c r="Z13" s="302"/>
      <c r="AA13" s="302"/>
    </row>
    <row r="14" spans="1:27" ht="30">
      <c r="J14" s="30" t="s">
        <v>21</v>
      </c>
      <c r="Z14" s="302"/>
      <c r="AA14" s="302"/>
    </row>
    <row r="15" spans="1:27">
      <c r="J15" s="107" t="s">
        <v>24</v>
      </c>
      <c r="Z15" s="302"/>
      <c r="AA15" s="302"/>
    </row>
    <row r="16" spans="1:27">
      <c r="Z16" s="302"/>
      <c r="AA16" s="302"/>
    </row>
    <row r="17" spans="2:27" ht="30">
      <c r="J17" s="30" t="s">
        <v>20</v>
      </c>
      <c r="Z17" s="302"/>
      <c r="AA17" s="302"/>
    </row>
    <row r="18" spans="2:27" ht="48" customHeight="1">
      <c r="L18" s="63" t="s">
        <v>376</v>
      </c>
      <c r="M18" s="30" t="s">
        <v>382</v>
      </c>
      <c r="N18" s="30" t="s">
        <v>383</v>
      </c>
      <c r="S18" s="30" t="str">
        <f>CONCATENATE("data('q10')===",CHAR(34),"no",CHAR(34),," &amp;&amp; ", "(data('",,'1_0_statistical_identification'!N163,"') == 1)")</f>
        <v>data('q10')==="no" &amp;&amp; (data('valid_overall') == 1)</v>
      </c>
      <c r="Y18" s="30" t="b">
        <v>1</v>
      </c>
      <c r="Z18" s="302"/>
      <c r="AA18" s="302"/>
    </row>
    <row r="19" spans="2:27" ht="120">
      <c r="B19" s="30" t="str">
        <f>CONCATENATE("There were {{data.",'1_0_statistical_identification'!A83,"}} individuals in 2012 and {{data.",N18,"}} individuals remain")</f>
        <v>There were {{data.q110_3}} individuals in 2012 and {{data.zcheck_roster_still}} individuals remain</v>
      </c>
      <c r="E19" s="70" t="str">
        <f>CONCATENATE("بلغ عدد الأفراد {{data.",'1_0_statistical_identification'!A83,"}}  في عام 2012 وعدد الأفراد المتبقيين {{data.",N18,"}}")</f>
        <v>بلغ عدد الأفراد {{data.q110_3}}  في عام 2012 وعدد الأفراد المتبقيين {{data.zcheck_roster_still}}</v>
      </c>
      <c r="F19" s="70"/>
      <c r="L19" s="30" t="s">
        <v>22</v>
      </c>
      <c r="O19" s="30" t="str">
        <f>E19</f>
        <v>بلغ عدد الأفراد {{data.q110_3}}  في عام 2012 وعدد الأفراد المتبقيين {{data.zcheck_roster_still}}</v>
      </c>
      <c r="P19" s="30" t="str">
        <f>B19</f>
        <v>There were {{data.q110_3}} individuals in 2012 and {{data.zcheck_roster_still}} individuals remain</v>
      </c>
      <c r="Y19" s="30" t="b">
        <v>1</v>
      </c>
      <c r="Z19" s="302"/>
      <c r="AA19" s="302"/>
    </row>
    <row r="20" spans="2:27" ht="30">
      <c r="J20" s="30" t="s">
        <v>21</v>
      </c>
      <c r="Z20" s="302"/>
      <c r="AA20" s="302"/>
    </row>
    <row r="21" spans="2:27" ht="30">
      <c r="J21" s="107" t="s">
        <v>23</v>
      </c>
      <c r="K21" s="30" t="str">
        <f>CONCATENATE("data('",N18,"') == 0")</f>
        <v>data('zcheck_roster_still') == 0</v>
      </c>
      <c r="Z21" s="302"/>
      <c r="AA21" s="302"/>
    </row>
    <row r="22" spans="2:27" ht="30">
      <c r="J22" s="30" t="s">
        <v>20</v>
      </c>
      <c r="Z22" s="302"/>
      <c r="AA22" s="302"/>
    </row>
    <row r="23" spans="2:27" ht="120">
      <c r="B23" s="30" t="s">
        <v>386</v>
      </c>
      <c r="C23" s="48" t="str">
        <f>CONCATENATE("Constraints: ", X23,)</f>
        <v>Constraints: Needs to be at least one individual from 2012 present, otherwise change result of visit</v>
      </c>
      <c r="E23" s="30" t="s">
        <v>1085</v>
      </c>
      <c r="F23" s="48" t="str">
        <f>CONCATENATE("Constraints: ", W23,)</f>
        <v>Constraints: يلزم وجود فرد واحد على الأقل من عام 2012، غير ذلك يجب تغيير نتيجة الزيارة</v>
      </c>
      <c r="L23" s="434" t="s">
        <v>18</v>
      </c>
      <c r="M23" s="71" t="s">
        <v>1594</v>
      </c>
      <c r="N23" s="30" t="s">
        <v>384</v>
      </c>
      <c r="O23" s="30" t="str">
        <f>E23</f>
        <v>يلزم وجود فرد واحد على الأقل من عام 2012، غير ذلك يجب تغيير نتيجة الزيارة</v>
      </c>
      <c r="P23" s="30" t="str">
        <f>B23</f>
        <v>Needs to be at least one individual from 2012 present, otherwise change result of visit</v>
      </c>
      <c r="S23" s="30" t="str">
        <f>CONCATENATE("data('q10')===",CHAR(34),"no",CHAR(34),," &amp;&amp; ", "(data('",,'1_0_statistical_identification'!N163,"') == 1) &amp;&amp; ",K21)</f>
        <v>data('q10')==="no" &amp;&amp; (data('valid_overall') == 1) &amp;&amp; data('zcheck_roster_still') == 0</v>
      </c>
      <c r="V23" s="30" t="str">
        <f>CONCATENATE("(data('",,'1_0_statistical_identification'!N163,"') == 0) || data('q10')===",CHAR(34),"yes",CHAR(34)," || data('",N18,"') &gt; 0")</f>
        <v>(data('valid_overall') == 0) || data('q10')==="yes" || data('zcheck_roster_still') &gt; 0</v>
      </c>
      <c r="W23" s="30" t="str">
        <f>E23</f>
        <v>يلزم وجود فرد واحد على الأقل من عام 2012، غير ذلك يجب تغيير نتيجة الزيارة</v>
      </c>
      <c r="X23" s="30" t="str">
        <f>B23</f>
        <v>Needs to be at least one individual from 2012 present, otherwise change result of visit</v>
      </c>
      <c r="Y23" s="30" t="b">
        <v>1</v>
      </c>
      <c r="Z23" s="302"/>
      <c r="AA23" s="106"/>
    </row>
    <row r="24" spans="2:27" ht="30">
      <c r="J24" s="30" t="s">
        <v>21</v>
      </c>
      <c r="Z24" s="302"/>
      <c r="AA24" s="106"/>
    </row>
    <row r="25" spans="2:27">
      <c r="J25" s="107" t="s">
        <v>24</v>
      </c>
      <c r="Z25" s="106"/>
      <c r="AA25" s="106"/>
    </row>
    <row r="26" spans="2:27">
      <c r="J26" s="364" t="s">
        <v>24</v>
      </c>
      <c r="Z26" s="106"/>
      <c r="AA26" s="106"/>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settings</vt:lpstr>
      <vt:lpstr>survey</vt:lpstr>
      <vt:lpstr>queries</vt:lpstr>
      <vt:lpstr>choices</vt:lpstr>
      <vt:lpstr>model</vt:lpstr>
      <vt:lpstr>prompt_types</vt:lpstr>
      <vt:lpstr>properties</vt:lpstr>
      <vt:lpstr>1_0_statistical_identification</vt:lpstr>
      <vt:lpstr>2_0_tracking_splits</vt:lpstr>
      <vt:lpstr>3_0_individual_data</vt:lpstr>
      <vt:lpstr>4_0_housing_information</vt:lpstr>
      <vt:lpstr>5_0_individual_questionnaires</vt:lpstr>
      <vt:lpstr>13_0_Statistical_Identification</vt:lpstr>
      <vt:lpstr>14_1_Current_Migration</vt:lpstr>
      <vt:lpstr>14_2_Remittances</vt:lpstr>
      <vt:lpstr>14_3_Other_income</vt:lpstr>
      <vt:lpstr>14_4_Shocks_coping</vt:lpstr>
      <vt:lpstr>15_1_Non_agriculture_ent</vt:lpstr>
      <vt:lpstr>16_1_Agri_Assets_Land</vt:lpstr>
      <vt:lpstr>16_2_Livestock</vt:lpstr>
      <vt:lpstr>16_3_Capital_Equipment</vt:lpstr>
      <vt:lpstr>16_4_Harvest_disposal_crops</vt:lpstr>
      <vt:lpstr>16_5_Other_agri_income</vt:lpstr>
    </vt:vector>
  </TitlesOfParts>
  <Company>St. Catherine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2017-07-05T19:04:03Z</dcterms:created>
  <dcterms:modified xsi:type="dcterms:W3CDTF">2019-06-18T20:06:16Z</dcterms:modified>
</cp:coreProperties>
</file>